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lly Mayasich\Documents\Ecotoxicogenomics\Thyroid EPA postdoc\AOP\Publications\SARS-CoV2 host range SeqAPASS\Manuscript\Suppl Info\"/>
    </mc:Choice>
  </mc:AlternateContent>
  <bookViews>
    <workbookView xWindow="-4635" yWindow="-15480" windowWidth="19440" windowHeight="14880"/>
  </bookViews>
  <sheets>
    <sheet name="ReadMe" sheetId="31" r:id="rId1"/>
    <sheet name="40S_uS3_curB" sheetId="1" r:id="rId2"/>
    <sheet name="40S_uS3_curD" sheetId="2" r:id="rId3"/>
    <sheet name="40S_uS5_S2_Bcur" sheetId="3" r:id="rId4"/>
    <sheet name="40S_uS5_S2_Dcur" sheetId="4" r:id="rId5"/>
    <sheet name="ACE2_Bcur" sheetId="5" r:id="rId6"/>
    <sheet name="ACE2_Dcur" sheetId="6" r:id="rId7"/>
    <sheet name="BST-2_Bcur" sheetId="7" r:id="rId8"/>
    <sheet name="BST-2_Dcur" sheetId="8" r:id="rId9"/>
    <sheet name="BST2Bats_Bcur" sheetId="9" r:id="rId10"/>
    <sheet name="BST2Bats_Dcur" sheetId="10" r:id="rId11"/>
    <sheet name="G3BP1_Bcur" sheetId="11" r:id="rId12"/>
    <sheet name="G3BP1_Dcur" sheetId="12" r:id="rId13"/>
    <sheet name="IRF3_Bcur" sheetId="13" r:id="rId14"/>
    <sheet name="IRF3_Dcur" sheetId="14" r:id="rId15"/>
    <sheet name="ISG15_Bcur" sheetId="15" r:id="rId16"/>
    <sheet name="ISG15_Dcur" sheetId="16" r:id="rId17"/>
    <sheet name="MAVS_Bcur" sheetId="17" r:id="rId18"/>
    <sheet name="MAVS_Dcur" sheetId="18" r:id="rId19"/>
    <sheet name="NEMO_Bcur" sheetId="19" r:id="rId20"/>
    <sheet name="NEMO_Dcur" sheetId="20" r:id="rId21"/>
    <sheet name="POLA_Bcur" sheetId="21" r:id="rId22"/>
    <sheet name="POLA_Dcur" sheetId="22" r:id="rId23"/>
    <sheet name="RAE1_Bcur" sheetId="23" r:id="rId24"/>
    <sheet name="RAE1_Dcur" sheetId="24" r:id="rId25"/>
    <sheet name="STAT1_Bcur" sheetId="25" r:id="rId26"/>
    <sheet name="STAT1_Dcur" sheetId="26" r:id="rId27"/>
    <sheet name="TMPRSS2_Bcur" sheetId="27" r:id="rId28"/>
    <sheet name="TMPRSS2_Dcur" sheetId="28" r:id="rId29"/>
    <sheet name="TOMM70_Bcur" sheetId="29" r:id="rId30"/>
    <sheet name="TOMM70_Dcur" sheetId="30" r:id="rId31"/>
  </sheets>
  <calcPr calcId="152511"/>
</workbook>
</file>

<file path=xl/calcChain.xml><?xml version="1.0" encoding="utf-8"?>
<calcChain xmlns="http://schemas.openxmlformats.org/spreadsheetml/2006/main">
  <c r="H33" i="30" l="1"/>
  <c r="F33" i="30"/>
  <c r="D33" i="30"/>
  <c r="B33" i="30"/>
  <c r="H32" i="30"/>
  <c r="F32" i="30"/>
  <c r="D32" i="30"/>
  <c r="B32" i="30"/>
  <c r="H31" i="30"/>
  <c r="F31" i="30"/>
  <c r="D31" i="30"/>
  <c r="B31" i="30"/>
  <c r="H30" i="30"/>
  <c r="F30" i="30"/>
  <c r="D30" i="30"/>
  <c r="B30" i="30"/>
  <c r="H29" i="30"/>
  <c r="F29" i="30"/>
  <c r="D29" i="30"/>
  <c r="B29" i="30"/>
  <c r="H28" i="30"/>
  <c r="F28" i="30"/>
  <c r="D28" i="30"/>
  <c r="B28" i="30"/>
  <c r="H27" i="30"/>
  <c r="F27" i="30"/>
  <c r="D27" i="30"/>
  <c r="B27" i="30"/>
  <c r="H26" i="30"/>
  <c r="F26" i="30"/>
  <c r="D26" i="30"/>
  <c r="B26" i="30"/>
  <c r="H25" i="30"/>
  <c r="F25" i="30"/>
  <c r="D25" i="30"/>
  <c r="B25" i="30"/>
  <c r="H24" i="30"/>
  <c r="F24" i="30"/>
  <c r="D24" i="30"/>
  <c r="B24" i="30"/>
  <c r="H23" i="30"/>
  <c r="F23" i="30"/>
  <c r="D23" i="30"/>
  <c r="B23" i="30"/>
  <c r="H22" i="30"/>
  <c r="F22" i="30"/>
  <c r="D22" i="30"/>
  <c r="B22" i="30"/>
  <c r="H21" i="30"/>
  <c r="F21" i="30"/>
  <c r="D21" i="30"/>
  <c r="B21" i="30"/>
  <c r="H20" i="30"/>
  <c r="F20" i="30"/>
  <c r="D20" i="30"/>
  <c r="B20" i="30"/>
  <c r="H19" i="30"/>
  <c r="F19" i="30"/>
  <c r="D19" i="30"/>
  <c r="B19" i="30"/>
  <c r="H18" i="30"/>
  <c r="F18" i="30"/>
  <c r="D18" i="30"/>
  <c r="B18" i="30"/>
  <c r="H17" i="30"/>
  <c r="F17" i="30"/>
  <c r="D17" i="30"/>
  <c r="B17" i="30"/>
  <c r="H16" i="30"/>
  <c r="F16" i="30"/>
  <c r="D16" i="30"/>
  <c r="B16" i="30"/>
  <c r="H15" i="30"/>
  <c r="F15" i="30"/>
  <c r="D15" i="30"/>
  <c r="B15" i="30"/>
  <c r="H14" i="30"/>
  <c r="F14" i="30"/>
  <c r="D14" i="30"/>
  <c r="B14" i="30"/>
  <c r="H13" i="30"/>
  <c r="F13" i="30"/>
  <c r="D13" i="30"/>
  <c r="B13" i="30"/>
  <c r="H12" i="30"/>
  <c r="F12" i="30"/>
  <c r="D12" i="30"/>
  <c r="B12" i="30"/>
  <c r="H11" i="30"/>
  <c r="F11" i="30"/>
  <c r="D11" i="30"/>
  <c r="B11" i="30"/>
  <c r="H10" i="30"/>
  <c r="F10" i="30"/>
  <c r="D10" i="30"/>
  <c r="B10" i="30"/>
  <c r="H9" i="30"/>
  <c r="F9" i="30"/>
  <c r="D9" i="30"/>
  <c r="B9" i="30"/>
  <c r="H8" i="30"/>
  <c r="F8" i="30"/>
  <c r="D8" i="30"/>
  <c r="B8" i="30"/>
  <c r="H7" i="30"/>
  <c r="F7" i="30"/>
  <c r="D7" i="30"/>
  <c r="B7" i="30"/>
  <c r="H6" i="30"/>
  <c r="F6" i="30"/>
  <c r="D6" i="30"/>
  <c r="B6" i="30"/>
  <c r="H5" i="30"/>
  <c r="F5" i="30"/>
  <c r="D5" i="30"/>
  <c r="B5" i="30"/>
  <c r="H4" i="30"/>
  <c r="F4" i="30"/>
  <c r="D4" i="30"/>
  <c r="B4" i="30"/>
  <c r="H3" i="30"/>
  <c r="F3" i="30"/>
  <c r="D3" i="30"/>
  <c r="B3" i="30"/>
  <c r="H2" i="30"/>
  <c r="F2" i="30"/>
  <c r="D2" i="30"/>
  <c r="B2" i="30"/>
  <c r="H34" i="29" l="1"/>
  <c r="F34" i="29"/>
  <c r="D34" i="29"/>
  <c r="B34" i="29"/>
  <c r="H33" i="29"/>
  <c r="F33" i="29"/>
  <c r="D33" i="29"/>
  <c r="B33" i="29"/>
  <c r="H32" i="29"/>
  <c r="F32" i="29"/>
  <c r="D32" i="29"/>
  <c r="B32" i="29"/>
  <c r="H31" i="29"/>
  <c r="F31" i="29"/>
  <c r="D31" i="29"/>
  <c r="B31" i="29"/>
  <c r="H30" i="29"/>
  <c r="F30" i="29"/>
  <c r="D30" i="29"/>
  <c r="B30" i="29"/>
  <c r="H29" i="29"/>
  <c r="F29" i="29"/>
  <c r="D29" i="29"/>
  <c r="B29" i="29"/>
  <c r="H28" i="29"/>
  <c r="F28" i="29"/>
  <c r="D28" i="29"/>
  <c r="B28" i="29"/>
  <c r="H27" i="29"/>
  <c r="F27" i="29"/>
  <c r="D27" i="29"/>
  <c r="B27" i="29"/>
  <c r="H26" i="29"/>
  <c r="F26" i="29"/>
  <c r="D26" i="29"/>
  <c r="B26" i="29"/>
  <c r="H25" i="29"/>
  <c r="F25" i="29"/>
  <c r="D25" i="29"/>
  <c r="B25" i="29"/>
  <c r="H24" i="29"/>
  <c r="F24" i="29"/>
  <c r="D24" i="29"/>
  <c r="B24" i="29"/>
  <c r="H23" i="29"/>
  <c r="F23" i="29"/>
  <c r="D23" i="29"/>
  <c r="B23" i="29"/>
  <c r="H22" i="29"/>
  <c r="F22" i="29"/>
  <c r="D22" i="29"/>
  <c r="B22" i="29"/>
  <c r="H21" i="29"/>
  <c r="F21" i="29"/>
  <c r="D21" i="29"/>
  <c r="B21" i="29"/>
  <c r="H20" i="29"/>
  <c r="F20" i="29"/>
  <c r="D20" i="29"/>
  <c r="B20" i="29"/>
  <c r="H19" i="29"/>
  <c r="F19" i="29"/>
  <c r="D19" i="29"/>
  <c r="B19" i="29"/>
  <c r="H18" i="29"/>
  <c r="F18" i="29"/>
  <c r="D18" i="29"/>
  <c r="B18" i="29"/>
  <c r="H17" i="29"/>
  <c r="F17" i="29"/>
  <c r="D17" i="29"/>
  <c r="B17" i="29"/>
  <c r="H16" i="29"/>
  <c r="F16" i="29"/>
  <c r="D16" i="29"/>
  <c r="B16" i="29"/>
  <c r="H15" i="29"/>
  <c r="F15" i="29"/>
  <c r="D15" i="29"/>
  <c r="B15" i="29"/>
  <c r="H14" i="29"/>
  <c r="F14" i="29"/>
  <c r="D14" i="29"/>
  <c r="B14" i="29"/>
  <c r="H13" i="29"/>
  <c r="F13" i="29"/>
  <c r="D13" i="29"/>
  <c r="B13" i="29"/>
  <c r="H12" i="29"/>
  <c r="F12" i="29"/>
  <c r="D12" i="29"/>
  <c r="B12" i="29"/>
  <c r="H11" i="29"/>
  <c r="F11" i="29"/>
  <c r="D11" i="29"/>
  <c r="B11" i="29"/>
  <c r="H10" i="29"/>
  <c r="F10" i="29"/>
  <c r="D10" i="29"/>
  <c r="B10" i="29"/>
  <c r="H9" i="29"/>
  <c r="F9" i="29"/>
  <c r="D9" i="29"/>
  <c r="B9" i="29"/>
  <c r="H8" i="29"/>
  <c r="F8" i="29"/>
  <c r="D8" i="29"/>
  <c r="B8" i="29"/>
  <c r="H7" i="29"/>
  <c r="F7" i="29"/>
  <c r="D7" i="29"/>
  <c r="B7" i="29"/>
  <c r="H6" i="29"/>
  <c r="F6" i="29"/>
  <c r="D6" i="29"/>
  <c r="B6" i="29"/>
  <c r="H5" i="29"/>
  <c r="F5" i="29"/>
  <c r="D5" i="29"/>
  <c r="B5" i="29"/>
  <c r="H4" i="29"/>
  <c r="F4" i="29"/>
  <c r="D4" i="29"/>
  <c r="B4" i="29"/>
  <c r="H3" i="29"/>
  <c r="F3" i="29"/>
  <c r="D3" i="29"/>
  <c r="B3" i="29"/>
  <c r="H2" i="29"/>
  <c r="F2" i="29"/>
  <c r="D2" i="29"/>
  <c r="B2" i="29"/>
  <c r="H32" i="28" l="1"/>
  <c r="F32" i="28"/>
  <c r="D32" i="28"/>
  <c r="B32" i="28"/>
  <c r="H31" i="28"/>
  <c r="F31" i="28"/>
  <c r="D31" i="28"/>
  <c r="B31" i="28"/>
  <c r="H30" i="28"/>
  <c r="F30" i="28"/>
  <c r="D30" i="28"/>
  <c r="B30" i="28"/>
  <c r="H29" i="28"/>
  <c r="F29" i="28"/>
  <c r="D29" i="28"/>
  <c r="B29" i="28"/>
  <c r="H28" i="28"/>
  <c r="F28" i="28"/>
  <c r="D28" i="28"/>
  <c r="B28" i="28"/>
  <c r="H27" i="28"/>
  <c r="F27" i="28"/>
  <c r="D27" i="28"/>
  <c r="B27" i="28"/>
  <c r="H26" i="28"/>
  <c r="F26" i="28"/>
  <c r="D26" i="28"/>
  <c r="B26" i="28"/>
  <c r="H25" i="28"/>
  <c r="F25" i="28"/>
  <c r="D25" i="28"/>
  <c r="B25" i="28"/>
  <c r="H24" i="28"/>
  <c r="F24" i="28"/>
  <c r="D24" i="28"/>
  <c r="B24" i="28"/>
  <c r="H23" i="28"/>
  <c r="F23" i="28"/>
  <c r="D23" i="28"/>
  <c r="B23" i="28"/>
  <c r="H22" i="28"/>
  <c r="F22" i="28"/>
  <c r="D22" i="28"/>
  <c r="B22" i="28"/>
  <c r="H21" i="28"/>
  <c r="F21" i="28"/>
  <c r="D21" i="28"/>
  <c r="B21" i="28"/>
  <c r="H20" i="28"/>
  <c r="F20" i="28"/>
  <c r="D20" i="28"/>
  <c r="B20" i="28"/>
  <c r="H19" i="28"/>
  <c r="F19" i="28"/>
  <c r="D19" i="28"/>
  <c r="B19" i="28"/>
  <c r="H18" i="28"/>
  <c r="F18" i="28"/>
  <c r="D18" i="28"/>
  <c r="B18" i="28"/>
  <c r="H17" i="28"/>
  <c r="F17" i="28"/>
  <c r="D17" i="28"/>
  <c r="B17" i="28"/>
  <c r="H16" i="28"/>
  <c r="F16" i="28"/>
  <c r="D16" i="28"/>
  <c r="B16" i="28"/>
  <c r="H15" i="28"/>
  <c r="F15" i="28"/>
  <c r="D15" i="28"/>
  <c r="B15" i="28"/>
  <c r="H14" i="28"/>
  <c r="F14" i="28"/>
  <c r="D14" i="28"/>
  <c r="B14" i="28"/>
  <c r="H13" i="28"/>
  <c r="F13" i="28"/>
  <c r="D13" i="28"/>
  <c r="B13" i="28"/>
  <c r="H12" i="28"/>
  <c r="F12" i="28"/>
  <c r="D12" i="28"/>
  <c r="B12" i="28"/>
  <c r="H11" i="28"/>
  <c r="F11" i="28"/>
  <c r="D11" i="28"/>
  <c r="B11" i="28"/>
  <c r="H10" i="28"/>
  <c r="F10" i="28"/>
  <c r="D10" i="28"/>
  <c r="B10" i="28"/>
  <c r="H9" i="28"/>
  <c r="F9" i="28"/>
  <c r="D9" i="28"/>
  <c r="B9" i="28"/>
  <c r="H8" i="28"/>
  <c r="F8" i="28"/>
  <c r="D8" i="28"/>
  <c r="B8" i="28"/>
  <c r="H7" i="28"/>
  <c r="F7" i="28"/>
  <c r="D7" i="28"/>
  <c r="B7" i="28"/>
  <c r="H6" i="28"/>
  <c r="F6" i="28"/>
  <c r="D6" i="28"/>
  <c r="B6" i="28"/>
  <c r="H5" i="28"/>
  <c r="F5" i="28"/>
  <c r="D5" i="28"/>
  <c r="B5" i="28"/>
  <c r="H4" i="28"/>
  <c r="F4" i="28"/>
  <c r="D4" i="28"/>
  <c r="B4" i="28"/>
  <c r="H3" i="28"/>
  <c r="F3" i="28"/>
  <c r="D3" i="28"/>
  <c r="B3" i="28"/>
  <c r="H2" i="28"/>
  <c r="F2" i="28"/>
  <c r="D2" i="28"/>
  <c r="B2" i="28"/>
  <c r="H32" i="27" l="1"/>
  <c r="F32" i="27"/>
  <c r="D32" i="27"/>
  <c r="B32" i="27"/>
  <c r="H31" i="27"/>
  <c r="F31" i="27"/>
  <c r="D31" i="27"/>
  <c r="B31" i="27"/>
  <c r="H30" i="27"/>
  <c r="F30" i="27"/>
  <c r="D30" i="27"/>
  <c r="B30" i="27"/>
  <c r="H29" i="27"/>
  <c r="F29" i="27"/>
  <c r="D29" i="27"/>
  <c r="B29" i="27"/>
  <c r="H28" i="27"/>
  <c r="F28" i="27"/>
  <c r="D28" i="27"/>
  <c r="B28" i="27"/>
  <c r="H27" i="27"/>
  <c r="F27" i="27"/>
  <c r="D27" i="27"/>
  <c r="B27" i="27"/>
  <c r="H26" i="27"/>
  <c r="F26" i="27"/>
  <c r="D26" i="27"/>
  <c r="B26" i="27"/>
  <c r="H25" i="27"/>
  <c r="F25" i="27"/>
  <c r="D25" i="27"/>
  <c r="B25" i="27"/>
  <c r="H24" i="27"/>
  <c r="F24" i="27"/>
  <c r="D24" i="27"/>
  <c r="B24" i="27"/>
  <c r="H23" i="27"/>
  <c r="F23" i="27"/>
  <c r="D23" i="27"/>
  <c r="B23" i="27"/>
  <c r="H22" i="27"/>
  <c r="F22" i="27"/>
  <c r="D22" i="27"/>
  <c r="B22" i="27"/>
  <c r="H21" i="27"/>
  <c r="F21" i="27"/>
  <c r="D21" i="27"/>
  <c r="B21" i="27"/>
  <c r="H20" i="27"/>
  <c r="F20" i="27"/>
  <c r="D20" i="27"/>
  <c r="B20" i="27"/>
  <c r="H19" i="27"/>
  <c r="F19" i="27"/>
  <c r="D19" i="27"/>
  <c r="B19" i="27"/>
  <c r="H18" i="27"/>
  <c r="F18" i="27"/>
  <c r="D18" i="27"/>
  <c r="B18" i="27"/>
  <c r="H17" i="27"/>
  <c r="F17" i="27"/>
  <c r="D17" i="27"/>
  <c r="B17" i="27"/>
  <c r="H16" i="27"/>
  <c r="F16" i="27"/>
  <c r="D16" i="27"/>
  <c r="B16" i="27"/>
  <c r="H15" i="27"/>
  <c r="F15" i="27"/>
  <c r="D15" i="27"/>
  <c r="B15" i="27"/>
  <c r="H14" i="27"/>
  <c r="F14" i="27"/>
  <c r="D14" i="27"/>
  <c r="B14" i="27"/>
  <c r="H13" i="27"/>
  <c r="F13" i="27"/>
  <c r="D13" i="27"/>
  <c r="B13" i="27"/>
  <c r="H12" i="27"/>
  <c r="F12" i="27"/>
  <c r="D12" i="27"/>
  <c r="B12" i="27"/>
  <c r="H11" i="27"/>
  <c r="F11" i="27"/>
  <c r="D11" i="27"/>
  <c r="B11" i="27"/>
  <c r="H10" i="27"/>
  <c r="F10" i="27"/>
  <c r="D10" i="27"/>
  <c r="B10" i="27"/>
  <c r="H9" i="27"/>
  <c r="F9" i="27"/>
  <c r="D9" i="27"/>
  <c r="B9" i="27"/>
  <c r="H8" i="27"/>
  <c r="F8" i="27"/>
  <c r="D8" i="27"/>
  <c r="B8" i="27"/>
  <c r="H7" i="27"/>
  <c r="F7" i="27"/>
  <c r="D7" i="27"/>
  <c r="B7" i="27"/>
  <c r="H6" i="27"/>
  <c r="F6" i="27"/>
  <c r="D6" i="27"/>
  <c r="B6" i="27"/>
  <c r="H5" i="27"/>
  <c r="F5" i="27"/>
  <c r="D5" i="27"/>
  <c r="B5" i="27"/>
  <c r="H4" i="27"/>
  <c r="F4" i="27"/>
  <c r="D4" i="27"/>
  <c r="B4" i="27"/>
  <c r="H3" i="27"/>
  <c r="F3" i="27"/>
  <c r="D3" i="27"/>
  <c r="B3" i="27"/>
  <c r="H2" i="27"/>
  <c r="F2" i="27"/>
  <c r="D2" i="27"/>
  <c r="B2" i="27"/>
  <c r="H35" i="26" l="1"/>
  <c r="F35" i="26"/>
  <c r="D35" i="26"/>
  <c r="B35" i="26"/>
  <c r="H34" i="26"/>
  <c r="F34" i="26"/>
  <c r="D34" i="26"/>
  <c r="B34" i="26"/>
  <c r="H33" i="26"/>
  <c r="F33" i="26"/>
  <c r="D33" i="26"/>
  <c r="B33" i="26"/>
  <c r="H32" i="26"/>
  <c r="F32" i="26"/>
  <c r="D32" i="26"/>
  <c r="B32" i="26"/>
  <c r="H31" i="26"/>
  <c r="F31" i="26"/>
  <c r="D31" i="26"/>
  <c r="B31" i="26"/>
  <c r="H30" i="26"/>
  <c r="F30" i="26"/>
  <c r="D30" i="26"/>
  <c r="B30" i="26"/>
  <c r="H29" i="26"/>
  <c r="F29" i="26"/>
  <c r="D29" i="26"/>
  <c r="B29" i="26"/>
  <c r="H28" i="26"/>
  <c r="F28" i="26"/>
  <c r="D28" i="26"/>
  <c r="B28" i="26"/>
  <c r="H27" i="26"/>
  <c r="F27" i="26"/>
  <c r="D27" i="26"/>
  <c r="B27" i="26"/>
  <c r="H26" i="26"/>
  <c r="F26" i="26"/>
  <c r="D26" i="26"/>
  <c r="B26" i="26"/>
  <c r="H25" i="26"/>
  <c r="F25" i="26"/>
  <c r="D25" i="26"/>
  <c r="B25" i="26"/>
  <c r="H24" i="26"/>
  <c r="F24" i="26"/>
  <c r="D24" i="26"/>
  <c r="B24" i="26"/>
  <c r="H23" i="26"/>
  <c r="F23" i="26"/>
  <c r="D23" i="26"/>
  <c r="B23" i="26"/>
  <c r="H22" i="26"/>
  <c r="F22" i="26"/>
  <c r="D22" i="26"/>
  <c r="B22" i="26"/>
  <c r="H21" i="26"/>
  <c r="F21" i="26"/>
  <c r="D21" i="26"/>
  <c r="B21" i="26"/>
  <c r="H20" i="26"/>
  <c r="F20" i="26"/>
  <c r="D20" i="26"/>
  <c r="B20" i="26"/>
  <c r="H19" i="26"/>
  <c r="F19" i="26"/>
  <c r="D19" i="26"/>
  <c r="B19" i="26"/>
  <c r="H18" i="26"/>
  <c r="F18" i="26"/>
  <c r="D18" i="26"/>
  <c r="B18" i="26"/>
  <c r="H17" i="26"/>
  <c r="F17" i="26"/>
  <c r="D17" i="26"/>
  <c r="B17" i="26"/>
  <c r="H16" i="26"/>
  <c r="F16" i="26"/>
  <c r="D16" i="26"/>
  <c r="B16" i="26"/>
  <c r="H15" i="26"/>
  <c r="F15" i="26"/>
  <c r="D15" i="26"/>
  <c r="B15" i="26"/>
  <c r="H14" i="26"/>
  <c r="F14" i="26"/>
  <c r="D14" i="26"/>
  <c r="B14" i="26"/>
  <c r="H13" i="26"/>
  <c r="F13" i="26"/>
  <c r="D13" i="26"/>
  <c r="B13" i="26"/>
  <c r="H12" i="26"/>
  <c r="F12" i="26"/>
  <c r="D12" i="26"/>
  <c r="B12" i="26"/>
  <c r="H11" i="26"/>
  <c r="F11" i="26"/>
  <c r="D11" i="26"/>
  <c r="B11" i="26"/>
  <c r="H10" i="26"/>
  <c r="F10" i="26"/>
  <c r="D10" i="26"/>
  <c r="B10" i="26"/>
  <c r="H9" i="26"/>
  <c r="F9" i="26"/>
  <c r="D9" i="26"/>
  <c r="B9" i="26"/>
  <c r="H8" i="26"/>
  <c r="F8" i="26"/>
  <c r="D8" i="26"/>
  <c r="B8" i="26"/>
  <c r="H7" i="26"/>
  <c r="F7" i="26"/>
  <c r="D7" i="26"/>
  <c r="B7" i="26"/>
  <c r="H6" i="26"/>
  <c r="F6" i="26"/>
  <c r="D6" i="26"/>
  <c r="B6" i="26"/>
  <c r="H5" i="26"/>
  <c r="F5" i="26"/>
  <c r="D5" i="26"/>
  <c r="B5" i="26"/>
  <c r="H4" i="26"/>
  <c r="F4" i="26"/>
  <c r="D4" i="26"/>
  <c r="B4" i="26"/>
  <c r="H3" i="26"/>
  <c r="F3" i="26"/>
  <c r="D3" i="26"/>
  <c r="B3" i="26"/>
  <c r="H2" i="26"/>
  <c r="F2" i="26"/>
  <c r="D2" i="26"/>
  <c r="B2" i="26"/>
  <c r="H35" i="25" l="1"/>
  <c r="F35" i="25"/>
  <c r="D35" i="25"/>
  <c r="B35" i="25"/>
  <c r="H34" i="25"/>
  <c r="F34" i="25"/>
  <c r="D34" i="25"/>
  <c r="B34" i="25"/>
  <c r="H33" i="25"/>
  <c r="F33" i="25"/>
  <c r="D33" i="25"/>
  <c r="B33" i="25"/>
  <c r="H32" i="25"/>
  <c r="F32" i="25"/>
  <c r="D32" i="25"/>
  <c r="B32" i="25"/>
  <c r="H31" i="25"/>
  <c r="F31" i="25"/>
  <c r="D31" i="25"/>
  <c r="B31" i="25"/>
  <c r="H30" i="25"/>
  <c r="F30" i="25"/>
  <c r="D30" i="25"/>
  <c r="B30" i="25"/>
  <c r="H29" i="25"/>
  <c r="F29" i="25"/>
  <c r="D29" i="25"/>
  <c r="B29" i="25"/>
  <c r="H28" i="25"/>
  <c r="F28" i="25"/>
  <c r="D28" i="25"/>
  <c r="B28" i="25"/>
  <c r="H27" i="25"/>
  <c r="F27" i="25"/>
  <c r="D27" i="25"/>
  <c r="B27" i="25"/>
  <c r="H26" i="25"/>
  <c r="F26" i="25"/>
  <c r="D26" i="25"/>
  <c r="B26" i="25"/>
  <c r="H25" i="25"/>
  <c r="F25" i="25"/>
  <c r="D25" i="25"/>
  <c r="B25" i="25"/>
  <c r="H24" i="25"/>
  <c r="F24" i="25"/>
  <c r="D24" i="25"/>
  <c r="B24" i="25"/>
  <c r="H23" i="25"/>
  <c r="F23" i="25"/>
  <c r="D23" i="25"/>
  <c r="B23" i="25"/>
  <c r="H22" i="25"/>
  <c r="F22" i="25"/>
  <c r="D22" i="25"/>
  <c r="B22" i="25"/>
  <c r="H21" i="25"/>
  <c r="F21" i="25"/>
  <c r="D21" i="25"/>
  <c r="B21" i="25"/>
  <c r="H20" i="25"/>
  <c r="F20" i="25"/>
  <c r="D20" i="25"/>
  <c r="B20" i="25"/>
  <c r="H19" i="25"/>
  <c r="F19" i="25"/>
  <c r="D19" i="25"/>
  <c r="B19" i="25"/>
  <c r="H18" i="25"/>
  <c r="F18" i="25"/>
  <c r="D18" i="25"/>
  <c r="B18" i="25"/>
  <c r="H17" i="25"/>
  <c r="F17" i="25"/>
  <c r="D17" i="25"/>
  <c r="B17" i="25"/>
  <c r="H16" i="25"/>
  <c r="F16" i="25"/>
  <c r="D16" i="25"/>
  <c r="B16" i="25"/>
  <c r="H15" i="25"/>
  <c r="F15" i="25"/>
  <c r="D15" i="25"/>
  <c r="B15" i="25"/>
  <c r="H14" i="25"/>
  <c r="F14" i="25"/>
  <c r="D14" i="25"/>
  <c r="B14" i="25"/>
  <c r="H13" i="25"/>
  <c r="F13" i="25"/>
  <c r="D13" i="25"/>
  <c r="B13" i="25"/>
  <c r="H12" i="25"/>
  <c r="F12" i="25"/>
  <c r="D12" i="25"/>
  <c r="B12" i="25"/>
  <c r="H11" i="25"/>
  <c r="F11" i="25"/>
  <c r="D11" i="25"/>
  <c r="B11" i="25"/>
  <c r="H10" i="25"/>
  <c r="F10" i="25"/>
  <c r="D10" i="25"/>
  <c r="B10" i="25"/>
  <c r="H9" i="25"/>
  <c r="F9" i="25"/>
  <c r="D9" i="25"/>
  <c r="B9" i="25"/>
  <c r="H8" i="25"/>
  <c r="F8" i="25"/>
  <c r="D8" i="25"/>
  <c r="B8" i="25"/>
  <c r="H7" i="25"/>
  <c r="F7" i="25"/>
  <c r="D7" i="25"/>
  <c r="B7" i="25"/>
  <c r="H6" i="25"/>
  <c r="F6" i="25"/>
  <c r="D6" i="25"/>
  <c r="B6" i="25"/>
  <c r="H5" i="25"/>
  <c r="F5" i="25"/>
  <c r="D5" i="25"/>
  <c r="B5" i="25"/>
  <c r="H4" i="25"/>
  <c r="F4" i="25"/>
  <c r="D4" i="25"/>
  <c r="B4" i="25"/>
  <c r="H3" i="25"/>
  <c r="F3" i="25"/>
  <c r="D3" i="25"/>
  <c r="B3" i="25"/>
  <c r="H2" i="25"/>
  <c r="F2" i="25"/>
  <c r="D2" i="25"/>
  <c r="B2" i="25"/>
  <c r="H34" i="24" l="1"/>
  <c r="F34" i="24"/>
  <c r="D34" i="24"/>
  <c r="B34" i="24"/>
  <c r="H33" i="24"/>
  <c r="F33" i="24"/>
  <c r="D33" i="24"/>
  <c r="B33" i="24"/>
  <c r="H32" i="24"/>
  <c r="F32" i="24"/>
  <c r="D32" i="24"/>
  <c r="B32" i="24"/>
  <c r="H31" i="24"/>
  <c r="F31" i="24"/>
  <c r="D31" i="24"/>
  <c r="B31" i="24"/>
  <c r="H30" i="24"/>
  <c r="F30" i="24"/>
  <c r="D30" i="24"/>
  <c r="B30" i="24"/>
  <c r="H29" i="24"/>
  <c r="F29" i="24"/>
  <c r="D29" i="24"/>
  <c r="B29" i="24"/>
  <c r="H28" i="24"/>
  <c r="F28" i="24"/>
  <c r="D28" i="24"/>
  <c r="B28" i="24"/>
  <c r="H27" i="24"/>
  <c r="F27" i="24"/>
  <c r="D27" i="24"/>
  <c r="B27" i="24"/>
  <c r="H26" i="24"/>
  <c r="F26" i="24"/>
  <c r="D26" i="24"/>
  <c r="B26" i="24"/>
  <c r="H25" i="24"/>
  <c r="F25" i="24"/>
  <c r="D25" i="24"/>
  <c r="B25" i="24"/>
  <c r="H24" i="24"/>
  <c r="F24" i="24"/>
  <c r="D24" i="24"/>
  <c r="B24" i="24"/>
  <c r="H23" i="24"/>
  <c r="F23" i="24"/>
  <c r="D23" i="24"/>
  <c r="B23" i="24"/>
  <c r="H22" i="24"/>
  <c r="F22" i="24"/>
  <c r="D22" i="24"/>
  <c r="B22" i="24"/>
  <c r="H21" i="24"/>
  <c r="F21" i="24"/>
  <c r="D21" i="24"/>
  <c r="B21" i="24"/>
  <c r="H20" i="24"/>
  <c r="F20" i="24"/>
  <c r="D20" i="24"/>
  <c r="B20" i="24"/>
  <c r="H19" i="24"/>
  <c r="F19" i="24"/>
  <c r="D19" i="24"/>
  <c r="B19" i="24"/>
  <c r="H18" i="24"/>
  <c r="F18" i="24"/>
  <c r="D18" i="24"/>
  <c r="B18" i="24"/>
  <c r="H17" i="24"/>
  <c r="F17" i="24"/>
  <c r="D17" i="24"/>
  <c r="B17" i="24"/>
  <c r="H16" i="24"/>
  <c r="F16" i="24"/>
  <c r="D16" i="24"/>
  <c r="B16" i="24"/>
  <c r="H15" i="24"/>
  <c r="F15" i="24"/>
  <c r="D15" i="24"/>
  <c r="B15" i="24"/>
  <c r="H14" i="24"/>
  <c r="F14" i="24"/>
  <c r="D14" i="24"/>
  <c r="B14" i="24"/>
  <c r="H13" i="24"/>
  <c r="F13" i="24"/>
  <c r="D13" i="24"/>
  <c r="B13" i="24"/>
  <c r="H12" i="24"/>
  <c r="F12" i="24"/>
  <c r="D12" i="24"/>
  <c r="B12" i="24"/>
  <c r="H11" i="24"/>
  <c r="F11" i="24"/>
  <c r="D11" i="24"/>
  <c r="B11" i="24"/>
  <c r="H10" i="24"/>
  <c r="F10" i="24"/>
  <c r="D10" i="24"/>
  <c r="B10" i="24"/>
  <c r="H9" i="24"/>
  <c r="F9" i="24"/>
  <c r="D9" i="24"/>
  <c r="B9" i="24"/>
  <c r="H8" i="24"/>
  <c r="F8" i="24"/>
  <c r="D8" i="24"/>
  <c r="B8" i="24"/>
  <c r="H7" i="24"/>
  <c r="F7" i="24"/>
  <c r="D7" i="24"/>
  <c r="B7" i="24"/>
  <c r="H6" i="24"/>
  <c r="F6" i="24"/>
  <c r="D6" i="24"/>
  <c r="B6" i="24"/>
  <c r="H5" i="24"/>
  <c r="F5" i="24"/>
  <c r="D5" i="24"/>
  <c r="B5" i="24"/>
  <c r="H4" i="24"/>
  <c r="F4" i="24"/>
  <c r="D4" i="24"/>
  <c r="B4" i="24"/>
  <c r="H3" i="24"/>
  <c r="F3" i="24"/>
  <c r="D3" i="24"/>
  <c r="B3" i="24"/>
  <c r="H2" i="24"/>
  <c r="F2" i="24"/>
  <c r="D2" i="24"/>
  <c r="B2" i="24"/>
  <c r="H34" i="23" l="1"/>
  <c r="F34" i="23"/>
  <c r="D34" i="23"/>
  <c r="B34" i="23"/>
  <c r="H33" i="23"/>
  <c r="F33" i="23"/>
  <c r="D33" i="23"/>
  <c r="B33" i="23"/>
  <c r="H32" i="23"/>
  <c r="F32" i="23"/>
  <c r="D32" i="23"/>
  <c r="B32" i="23"/>
  <c r="H31" i="23"/>
  <c r="F31" i="23"/>
  <c r="D31" i="23"/>
  <c r="B31" i="23"/>
  <c r="H30" i="23"/>
  <c r="F30" i="23"/>
  <c r="D30" i="23"/>
  <c r="B30" i="23"/>
  <c r="H29" i="23"/>
  <c r="F29" i="23"/>
  <c r="D29" i="23"/>
  <c r="B29" i="23"/>
  <c r="H28" i="23"/>
  <c r="F28" i="23"/>
  <c r="D28" i="23"/>
  <c r="B28" i="23"/>
  <c r="H27" i="23"/>
  <c r="F27" i="23"/>
  <c r="D27" i="23"/>
  <c r="B27" i="23"/>
  <c r="H26" i="23"/>
  <c r="F26" i="23"/>
  <c r="D26" i="23"/>
  <c r="B26" i="23"/>
  <c r="H25" i="23"/>
  <c r="F25" i="23"/>
  <c r="D25" i="23"/>
  <c r="B25" i="23"/>
  <c r="H24" i="23"/>
  <c r="F24" i="23"/>
  <c r="D24" i="23"/>
  <c r="B24" i="23"/>
  <c r="H23" i="23"/>
  <c r="F23" i="23"/>
  <c r="D23" i="23"/>
  <c r="B23" i="23"/>
  <c r="H22" i="23"/>
  <c r="F22" i="23"/>
  <c r="D22" i="23"/>
  <c r="B22" i="23"/>
  <c r="H21" i="23"/>
  <c r="F21" i="23"/>
  <c r="D21" i="23"/>
  <c r="B21" i="23"/>
  <c r="H20" i="23"/>
  <c r="F20" i="23"/>
  <c r="D20" i="23"/>
  <c r="B20" i="23"/>
  <c r="H19" i="23"/>
  <c r="F19" i="23"/>
  <c r="D19" i="23"/>
  <c r="B19" i="23"/>
  <c r="H18" i="23"/>
  <c r="F18" i="23"/>
  <c r="D18" i="23"/>
  <c r="B18" i="23"/>
  <c r="H17" i="23"/>
  <c r="F17" i="23"/>
  <c r="D17" i="23"/>
  <c r="B17" i="23"/>
  <c r="H16" i="23"/>
  <c r="F16" i="23"/>
  <c r="D16" i="23"/>
  <c r="B16" i="23"/>
  <c r="H15" i="23"/>
  <c r="F15" i="23"/>
  <c r="D15" i="23"/>
  <c r="B15" i="23"/>
  <c r="H14" i="23"/>
  <c r="F14" i="23"/>
  <c r="D14" i="23"/>
  <c r="B14" i="23"/>
  <c r="H13" i="23"/>
  <c r="F13" i="23"/>
  <c r="D13" i="23"/>
  <c r="B13" i="23"/>
  <c r="H12" i="23"/>
  <c r="F12" i="23"/>
  <c r="D12" i="23"/>
  <c r="B12" i="23"/>
  <c r="H11" i="23"/>
  <c r="F11" i="23"/>
  <c r="D11" i="23"/>
  <c r="B11" i="23"/>
  <c r="H10" i="23"/>
  <c r="F10" i="23"/>
  <c r="D10" i="23"/>
  <c r="B10" i="23"/>
  <c r="H9" i="23"/>
  <c r="F9" i="23"/>
  <c r="D9" i="23"/>
  <c r="B9" i="23"/>
  <c r="H8" i="23"/>
  <c r="F8" i="23"/>
  <c r="D8" i="23"/>
  <c r="B8" i="23"/>
  <c r="H7" i="23"/>
  <c r="F7" i="23"/>
  <c r="D7" i="23"/>
  <c r="B7" i="23"/>
  <c r="H6" i="23"/>
  <c r="F6" i="23"/>
  <c r="D6" i="23"/>
  <c r="B6" i="23"/>
  <c r="H5" i="23"/>
  <c r="F5" i="23"/>
  <c r="D5" i="23"/>
  <c r="B5" i="23"/>
  <c r="H4" i="23"/>
  <c r="F4" i="23"/>
  <c r="D4" i="23"/>
  <c r="B4" i="23"/>
  <c r="H3" i="23"/>
  <c r="F3" i="23"/>
  <c r="D3" i="23"/>
  <c r="B3" i="23"/>
  <c r="H2" i="23"/>
  <c r="F2" i="23"/>
  <c r="D2" i="23"/>
  <c r="B2" i="23"/>
  <c r="H33" i="22" l="1"/>
  <c r="F33" i="22"/>
  <c r="D33" i="22"/>
  <c r="B33" i="22"/>
  <c r="H32" i="22"/>
  <c r="F32" i="22"/>
  <c r="D32" i="22"/>
  <c r="B32" i="22"/>
  <c r="H31" i="22"/>
  <c r="F31" i="22"/>
  <c r="D31" i="22"/>
  <c r="B31" i="22"/>
  <c r="H30" i="22"/>
  <c r="F30" i="22"/>
  <c r="D30" i="22"/>
  <c r="B30" i="22"/>
  <c r="H29" i="22"/>
  <c r="F29" i="22"/>
  <c r="D29" i="22"/>
  <c r="B29" i="22"/>
  <c r="H28" i="22"/>
  <c r="F28" i="22"/>
  <c r="D28" i="22"/>
  <c r="B28" i="22"/>
  <c r="H27" i="22"/>
  <c r="F27" i="22"/>
  <c r="D27" i="22"/>
  <c r="B27" i="22"/>
  <c r="H26" i="22"/>
  <c r="F26" i="22"/>
  <c r="D26" i="22"/>
  <c r="B26" i="22"/>
  <c r="H25" i="22"/>
  <c r="F25" i="22"/>
  <c r="D25" i="22"/>
  <c r="B25" i="22"/>
  <c r="H24" i="22"/>
  <c r="F24" i="22"/>
  <c r="D24" i="22"/>
  <c r="B24" i="22"/>
  <c r="H23" i="22"/>
  <c r="F23" i="22"/>
  <c r="D23" i="22"/>
  <c r="B23" i="22"/>
  <c r="H22" i="22"/>
  <c r="F22" i="22"/>
  <c r="D22" i="22"/>
  <c r="B22" i="22"/>
  <c r="H21" i="22"/>
  <c r="F21" i="22"/>
  <c r="D21" i="22"/>
  <c r="B21" i="22"/>
  <c r="H20" i="22"/>
  <c r="F20" i="22"/>
  <c r="D20" i="22"/>
  <c r="B20" i="22"/>
  <c r="H19" i="22"/>
  <c r="F19" i="22"/>
  <c r="D19" i="22"/>
  <c r="B19" i="22"/>
  <c r="H18" i="22"/>
  <c r="F18" i="22"/>
  <c r="D18" i="22"/>
  <c r="B18" i="22"/>
  <c r="H17" i="22"/>
  <c r="F17" i="22"/>
  <c r="D17" i="22"/>
  <c r="B17" i="22"/>
  <c r="H16" i="22"/>
  <c r="F16" i="22"/>
  <c r="D16" i="22"/>
  <c r="B16" i="22"/>
  <c r="H15" i="22"/>
  <c r="F15" i="22"/>
  <c r="D15" i="22"/>
  <c r="B15" i="22"/>
  <c r="H14" i="22"/>
  <c r="F14" i="22"/>
  <c r="D14" i="22"/>
  <c r="B14" i="22"/>
  <c r="H13" i="22"/>
  <c r="F13" i="22"/>
  <c r="D13" i="22"/>
  <c r="B13" i="22"/>
  <c r="H12" i="22"/>
  <c r="F12" i="22"/>
  <c r="D12" i="22"/>
  <c r="B12" i="22"/>
  <c r="H11" i="22"/>
  <c r="F11" i="22"/>
  <c r="D11" i="22"/>
  <c r="B11" i="22"/>
  <c r="H10" i="22"/>
  <c r="F10" i="22"/>
  <c r="D10" i="22"/>
  <c r="B10" i="22"/>
  <c r="H9" i="22"/>
  <c r="F9" i="22"/>
  <c r="D9" i="22"/>
  <c r="B9" i="22"/>
  <c r="H8" i="22"/>
  <c r="F8" i="22"/>
  <c r="D8" i="22"/>
  <c r="B8" i="22"/>
  <c r="H7" i="22"/>
  <c r="F7" i="22"/>
  <c r="D7" i="22"/>
  <c r="B7" i="22"/>
  <c r="H6" i="22"/>
  <c r="F6" i="22"/>
  <c r="D6" i="22"/>
  <c r="B6" i="22"/>
  <c r="H5" i="22"/>
  <c r="F5" i="22"/>
  <c r="D5" i="22"/>
  <c r="B5" i="22"/>
  <c r="H4" i="22"/>
  <c r="F4" i="22"/>
  <c r="D4" i="22"/>
  <c r="B4" i="22"/>
  <c r="H3" i="22"/>
  <c r="F3" i="22"/>
  <c r="D3" i="22"/>
  <c r="B3" i="22"/>
  <c r="H2" i="22"/>
  <c r="F2" i="22"/>
  <c r="D2" i="22"/>
  <c r="B2" i="22"/>
  <c r="H33" i="21" l="1"/>
  <c r="F33" i="21"/>
  <c r="D33" i="21"/>
  <c r="B33" i="21"/>
  <c r="H32" i="21"/>
  <c r="F32" i="21"/>
  <c r="D32" i="21"/>
  <c r="B32" i="21"/>
  <c r="H31" i="21"/>
  <c r="F31" i="21"/>
  <c r="D31" i="21"/>
  <c r="B31" i="21"/>
  <c r="H30" i="21"/>
  <c r="F30" i="21"/>
  <c r="D30" i="21"/>
  <c r="B30" i="21"/>
  <c r="H29" i="21"/>
  <c r="F29" i="21"/>
  <c r="D29" i="21"/>
  <c r="B29" i="21"/>
  <c r="H28" i="21"/>
  <c r="F28" i="21"/>
  <c r="D28" i="21"/>
  <c r="B28" i="21"/>
  <c r="H27" i="21"/>
  <c r="F27" i="21"/>
  <c r="D27" i="21"/>
  <c r="B27" i="21"/>
  <c r="H26" i="21"/>
  <c r="F26" i="21"/>
  <c r="D26" i="21"/>
  <c r="B26" i="21"/>
  <c r="H25" i="21"/>
  <c r="F25" i="21"/>
  <c r="D25" i="21"/>
  <c r="B25" i="21"/>
  <c r="H24" i="21"/>
  <c r="F24" i="21"/>
  <c r="D24" i="21"/>
  <c r="B24" i="21"/>
  <c r="H23" i="21"/>
  <c r="F23" i="21"/>
  <c r="D23" i="21"/>
  <c r="B23" i="21"/>
  <c r="H22" i="21"/>
  <c r="F22" i="21"/>
  <c r="D22" i="21"/>
  <c r="B22" i="21"/>
  <c r="H21" i="21"/>
  <c r="F21" i="21"/>
  <c r="D21" i="21"/>
  <c r="B21" i="21"/>
  <c r="H20" i="21"/>
  <c r="F20" i="21"/>
  <c r="D20" i="21"/>
  <c r="B20" i="21"/>
  <c r="H19" i="21"/>
  <c r="F19" i="21"/>
  <c r="D19" i="21"/>
  <c r="B19" i="21"/>
  <c r="H18" i="21"/>
  <c r="F18" i="21"/>
  <c r="D18" i="21"/>
  <c r="B18" i="21"/>
  <c r="H17" i="21"/>
  <c r="F17" i="21"/>
  <c r="D17" i="21"/>
  <c r="B17" i="21"/>
  <c r="H16" i="21"/>
  <c r="F16" i="21"/>
  <c r="D16" i="21"/>
  <c r="B16" i="21"/>
  <c r="H15" i="21"/>
  <c r="F15" i="21"/>
  <c r="D15" i="21"/>
  <c r="B15" i="21"/>
  <c r="H14" i="21"/>
  <c r="F14" i="21"/>
  <c r="D14" i="21"/>
  <c r="B14" i="21"/>
  <c r="H13" i="21"/>
  <c r="F13" i="21"/>
  <c r="D13" i="21"/>
  <c r="B13" i="21"/>
  <c r="H12" i="21"/>
  <c r="F12" i="21"/>
  <c r="D12" i="21"/>
  <c r="B12" i="21"/>
  <c r="H11" i="21"/>
  <c r="F11" i="21"/>
  <c r="D11" i="21"/>
  <c r="B11" i="21"/>
  <c r="H10" i="21"/>
  <c r="F10" i="21"/>
  <c r="D10" i="21"/>
  <c r="B10" i="21"/>
  <c r="H9" i="21"/>
  <c r="F9" i="21"/>
  <c r="D9" i="21"/>
  <c r="B9" i="21"/>
  <c r="H8" i="21"/>
  <c r="F8" i="21"/>
  <c r="D8" i="21"/>
  <c r="B8" i="21"/>
  <c r="H7" i="21"/>
  <c r="F7" i="21"/>
  <c r="D7" i="21"/>
  <c r="B7" i="21"/>
  <c r="H6" i="21"/>
  <c r="F6" i="21"/>
  <c r="D6" i="21"/>
  <c r="B6" i="21"/>
  <c r="H5" i="21"/>
  <c r="F5" i="21"/>
  <c r="D5" i="21"/>
  <c r="B5" i="21"/>
  <c r="H4" i="21"/>
  <c r="F4" i="21"/>
  <c r="D4" i="21"/>
  <c r="B4" i="21"/>
  <c r="H3" i="21"/>
  <c r="F3" i="21"/>
  <c r="D3" i="21"/>
  <c r="B3" i="21"/>
  <c r="H2" i="21"/>
  <c r="F2" i="21"/>
  <c r="D2" i="21"/>
  <c r="B2" i="21"/>
  <c r="H34" i="20" l="1"/>
  <c r="F34" i="20"/>
  <c r="D34" i="20"/>
  <c r="B34" i="20"/>
  <c r="H33" i="20"/>
  <c r="F33" i="20"/>
  <c r="D33" i="20"/>
  <c r="B33" i="20"/>
  <c r="H32" i="20"/>
  <c r="F32" i="20"/>
  <c r="D32" i="20"/>
  <c r="B32" i="20"/>
  <c r="H31" i="20"/>
  <c r="F31" i="20"/>
  <c r="D31" i="20"/>
  <c r="B31" i="20"/>
  <c r="H30" i="20"/>
  <c r="F30" i="20"/>
  <c r="D30" i="20"/>
  <c r="B30" i="20"/>
  <c r="H29" i="20"/>
  <c r="F29" i="20"/>
  <c r="D29" i="20"/>
  <c r="B29" i="20"/>
  <c r="H28" i="20"/>
  <c r="F28" i="20"/>
  <c r="D28" i="20"/>
  <c r="B28" i="20"/>
  <c r="H27" i="20"/>
  <c r="F27" i="20"/>
  <c r="D27" i="20"/>
  <c r="B27" i="20"/>
  <c r="H26" i="20"/>
  <c r="F26" i="20"/>
  <c r="D26" i="20"/>
  <c r="B26" i="20"/>
  <c r="H25" i="20"/>
  <c r="F25" i="20"/>
  <c r="D25" i="20"/>
  <c r="B25" i="20"/>
  <c r="H24" i="20"/>
  <c r="F24" i="20"/>
  <c r="D24" i="20"/>
  <c r="B24" i="20"/>
  <c r="H23" i="20"/>
  <c r="F23" i="20"/>
  <c r="D23" i="20"/>
  <c r="B23" i="20"/>
  <c r="H22" i="20"/>
  <c r="F22" i="20"/>
  <c r="D22" i="20"/>
  <c r="B22" i="20"/>
  <c r="H21" i="20"/>
  <c r="F21" i="20"/>
  <c r="D21" i="20"/>
  <c r="B21" i="20"/>
  <c r="H20" i="20"/>
  <c r="F20" i="20"/>
  <c r="D20" i="20"/>
  <c r="B20" i="20"/>
  <c r="H19" i="20"/>
  <c r="F19" i="20"/>
  <c r="D19" i="20"/>
  <c r="B19" i="20"/>
  <c r="H18" i="20"/>
  <c r="F18" i="20"/>
  <c r="D18" i="20"/>
  <c r="B18" i="20"/>
  <c r="H17" i="20"/>
  <c r="F17" i="20"/>
  <c r="D17" i="20"/>
  <c r="B17" i="20"/>
  <c r="H16" i="20"/>
  <c r="F16" i="20"/>
  <c r="D16" i="20"/>
  <c r="B16" i="20"/>
  <c r="H15" i="20"/>
  <c r="F15" i="20"/>
  <c r="D15" i="20"/>
  <c r="B15" i="20"/>
  <c r="H14" i="20"/>
  <c r="F14" i="20"/>
  <c r="D14" i="20"/>
  <c r="B14" i="20"/>
  <c r="H13" i="20"/>
  <c r="F13" i="20"/>
  <c r="D13" i="20"/>
  <c r="B13" i="20"/>
  <c r="H12" i="20"/>
  <c r="F12" i="20"/>
  <c r="D12" i="20"/>
  <c r="B12" i="20"/>
  <c r="H11" i="20"/>
  <c r="F11" i="20"/>
  <c r="D11" i="20"/>
  <c r="B11" i="20"/>
  <c r="H10" i="20"/>
  <c r="F10" i="20"/>
  <c r="D10" i="20"/>
  <c r="B10" i="20"/>
  <c r="H9" i="20"/>
  <c r="F9" i="20"/>
  <c r="D9" i="20"/>
  <c r="B9" i="20"/>
  <c r="H8" i="20"/>
  <c r="F8" i="20"/>
  <c r="D8" i="20"/>
  <c r="B8" i="20"/>
  <c r="H7" i="20"/>
  <c r="F7" i="20"/>
  <c r="D7" i="20"/>
  <c r="B7" i="20"/>
  <c r="H6" i="20"/>
  <c r="F6" i="20"/>
  <c r="D6" i="20"/>
  <c r="B6" i="20"/>
  <c r="H5" i="20"/>
  <c r="F5" i="20"/>
  <c r="D5" i="20"/>
  <c r="B5" i="20"/>
  <c r="H4" i="20"/>
  <c r="F4" i="20"/>
  <c r="D4" i="20"/>
  <c r="B4" i="20"/>
  <c r="H3" i="20"/>
  <c r="F3" i="20"/>
  <c r="D3" i="20"/>
  <c r="B3" i="20"/>
  <c r="H2" i="20"/>
  <c r="F2" i="20"/>
  <c r="D2" i="20"/>
  <c r="B2" i="20"/>
  <c r="H34" i="19" l="1"/>
  <c r="F34" i="19"/>
  <c r="D34" i="19"/>
  <c r="B34" i="19"/>
  <c r="H33" i="19"/>
  <c r="F33" i="19"/>
  <c r="D33" i="19"/>
  <c r="B33" i="19"/>
  <c r="H32" i="19"/>
  <c r="F32" i="19"/>
  <c r="D32" i="19"/>
  <c r="B32" i="19"/>
  <c r="H31" i="19"/>
  <c r="F31" i="19"/>
  <c r="D31" i="19"/>
  <c r="B31" i="19"/>
  <c r="H30" i="19"/>
  <c r="F30" i="19"/>
  <c r="D30" i="19"/>
  <c r="B30" i="19"/>
  <c r="H29" i="19"/>
  <c r="F29" i="19"/>
  <c r="D29" i="19"/>
  <c r="B29" i="19"/>
  <c r="H28" i="19"/>
  <c r="F28" i="19"/>
  <c r="D28" i="19"/>
  <c r="B28" i="19"/>
  <c r="H27" i="19"/>
  <c r="F27" i="19"/>
  <c r="D27" i="19"/>
  <c r="B27" i="19"/>
  <c r="H26" i="19"/>
  <c r="F26" i="19"/>
  <c r="D26" i="19"/>
  <c r="B26" i="19"/>
  <c r="H25" i="19"/>
  <c r="F25" i="19"/>
  <c r="D25" i="19"/>
  <c r="B25" i="19"/>
  <c r="H24" i="19"/>
  <c r="F24" i="19"/>
  <c r="D24" i="19"/>
  <c r="B24" i="19"/>
  <c r="H23" i="19"/>
  <c r="F23" i="19"/>
  <c r="D23" i="19"/>
  <c r="B23" i="19"/>
  <c r="H22" i="19"/>
  <c r="F22" i="19"/>
  <c r="D22" i="19"/>
  <c r="B22" i="19"/>
  <c r="H21" i="19"/>
  <c r="F21" i="19"/>
  <c r="D21" i="19"/>
  <c r="B21" i="19"/>
  <c r="H20" i="19"/>
  <c r="F20" i="19"/>
  <c r="D20" i="19"/>
  <c r="B20" i="19"/>
  <c r="H19" i="19"/>
  <c r="F19" i="19"/>
  <c r="D19" i="19"/>
  <c r="B19" i="19"/>
  <c r="H18" i="19"/>
  <c r="F18" i="19"/>
  <c r="D18" i="19"/>
  <c r="B18" i="19"/>
  <c r="H17" i="19"/>
  <c r="F17" i="19"/>
  <c r="D17" i="19"/>
  <c r="B17" i="19"/>
  <c r="H16" i="19"/>
  <c r="F16" i="19"/>
  <c r="D16" i="19"/>
  <c r="B16" i="19"/>
  <c r="H15" i="19"/>
  <c r="F15" i="19"/>
  <c r="D15" i="19"/>
  <c r="B15" i="19"/>
  <c r="H14" i="19"/>
  <c r="F14" i="19"/>
  <c r="D14" i="19"/>
  <c r="B14" i="19"/>
  <c r="H13" i="19"/>
  <c r="F13" i="19"/>
  <c r="D13" i="19"/>
  <c r="B13" i="19"/>
  <c r="H12" i="19"/>
  <c r="F12" i="19"/>
  <c r="D12" i="19"/>
  <c r="B12" i="19"/>
  <c r="H11" i="19"/>
  <c r="F11" i="19"/>
  <c r="D11" i="19"/>
  <c r="B11" i="19"/>
  <c r="H10" i="19"/>
  <c r="F10" i="19"/>
  <c r="D10" i="19"/>
  <c r="B10" i="19"/>
  <c r="H9" i="19"/>
  <c r="F9" i="19"/>
  <c r="D9" i="19"/>
  <c r="B9" i="19"/>
  <c r="H8" i="19"/>
  <c r="F8" i="19"/>
  <c r="D8" i="19"/>
  <c r="B8" i="19"/>
  <c r="H7" i="19"/>
  <c r="F7" i="19"/>
  <c r="D7" i="19"/>
  <c r="B7" i="19"/>
  <c r="H6" i="19"/>
  <c r="F6" i="19"/>
  <c r="D6" i="19"/>
  <c r="B6" i="19"/>
  <c r="H5" i="19"/>
  <c r="F5" i="19"/>
  <c r="D5" i="19"/>
  <c r="B5" i="19"/>
  <c r="H4" i="19"/>
  <c r="F4" i="19"/>
  <c r="D4" i="19"/>
  <c r="B4" i="19"/>
  <c r="H3" i="19"/>
  <c r="F3" i="19"/>
  <c r="D3" i="19"/>
  <c r="B3" i="19"/>
  <c r="H2" i="19"/>
  <c r="F2" i="19"/>
  <c r="D2" i="19"/>
  <c r="B2" i="19"/>
  <c r="H36" i="18" l="1"/>
  <c r="F36" i="18"/>
  <c r="D36" i="18"/>
  <c r="B36" i="18"/>
  <c r="H35" i="18"/>
  <c r="F35" i="18"/>
  <c r="D35" i="18"/>
  <c r="B35" i="18"/>
  <c r="H34" i="18"/>
  <c r="F34" i="18"/>
  <c r="D34" i="18"/>
  <c r="B34" i="18"/>
  <c r="H33" i="18"/>
  <c r="F33" i="18"/>
  <c r="D33" i="18"/>
  <c r="B33" i="18"/>
  <c r="H32" i="18"/>
  <c r="F32" i="18"/>
  <c r="D32" i="18"/>
  <c r="B32" i="18"/>
  <c r="H31" i="18"/>
  <c r="F31" i="18"/>
  <c r="D31" i="18"/>
  <c r="B31" i="18"/>
  <c r="H30" i="18"/>
  <c r="F30" i="18"/>
  <c r="D30" i="18"/>
  <c r="B30" i="18"/>
  <c r="H29" i="18"/>
  <c r="F29" i="18"/>
  <c r="D29" i="18"/>
  <c r="B29" i="18"/>
  <c r="H28" i="18"/>
  <c r="F28" i="18"/>
  <c r="D28" i="18"/>
  <c r="B28" i="18"/>
  <c r="H27" i="18"/>
  <c r="F27" i="18"/>
  <c r="D27" i="18"/>
  <c r="B27" i="18"/>
  <c r="H26" i="18"/>
  <c r="F26" i="18"/>
  <c r="D26" i="18"/>
  <c r="B26" i="18"/>
  <c r="H25" i="18"/>
  <c r="F25" i="18"/>
  <c r="D25" i="18"/>
  <c r="B25" i="18"/>
  <c r="H24" i="18"/>
  <c r="F24" i="18"/>
  <c r="D24" i="18"/>
  <c r="B24" i="18"/>
  <c r="H23" i="18"/>
  <c r="F23" i="18"/>
  <c r="D23" i="18"/>
  <c r="B23" i="18"/>
  <c r="H22" i="18"/>
  <c r="F22" i="18"/>
  <c r="D22" i="18"/>
  <c r="B22" i="18"/>
  <c r="H21" i="18"/>
  <c r="F21" i="18"/>
  <c r="D21" i="18"/>
  <c r="B21" i="18"/>
  <c r="H20" i="18"/>
  <c r="F20" i="18"/>
  <c r="D20" i="18"/>
  <c r="B20" i="18"/>
  <c r="H19" i="18"/>
  <c r="F19" i="18"/>
  <c r="D19" i="18"/>
  <c r="B19" i="18"/>
  <c r="H18" i="18"/>
  <c r="F18" i="18"/>
  <c r="D18" i="18"/>
  <c r="B18" i="18"/>
  <c r="H17" i="18"/>
  <c r="F17" i="18"/>
  <c r="D17" i="18"/>
  <c r="B17" i="18"/>
  <c r="H16" i="18"/>
  <c r="F16" i="18"/>
  <c r="D16" i="18"/>
  <c r="B16" i="18"/>
  <c r="H15" i="18"/>
  <c r="F15" i="18"/>
  <c r="D15" i="18"/>
  <c r="B15" i="18"/>
  <c r="H14" i="18"/>
  <c r="F14" i="18"/>
  <c r="D14" i="18"/>
  <c r="B14" i="18"/>
  <c r="H13" i="18"/>
  <c r="F13" i="18"/>
  <c r="D13" i="18"/>
  <c r="B13" i="18"/>
  <c r="H12" i="18"/>
  <c r="F12" i="18"/>
  <c r="D12" i="18"/>
  <c r="B12" i="18"/>
  <c r="H11" i="18"/>
  <c r="F11" i="18"/>
  <c r="D11" i="18"/>
  <c r="B11" i="18"/>
  <c r="H10" i="18"/>
  <c r="F10" i="18"/>
  <c r="D10" i="18"/>
  <c r="B10" i="18"/>
  <c r="H9" i="18"/>
  <c r="F9" i="18"/>
  <c r="D9" i="18"/>
  <c r="B9" i="18"/>
  <c r="H8" i="18"/>
  <c r="F8" i="18"/>
  <c r="D8" i="18"/>
  <c r="B8" i="18"/>
  <c r="H7" i="18"/>
  <c r="F7" i="18"/>
  <c r="D7" i="18"/>
  <c r="B7" i="18"/>
  <c r="H6" i="18"/>
  <c r="F6" i="18"/>
  <c r="D6" i="18"/>
  <c r="B6" i="18"/>
  <c r="H5" i="18"/>
  <c r="F5" i="18"/>
  <c r="D5" i="18"/>
  <c r="B5" i="18"/>
  <c r="H4" i="18"/>
  <c r="F4" i="18"/>
  <c r="D4" i="18"/>
  <c r="B4" i="18"/>
  <c r="H3" i="18"/>
  <c r="F3" i="18"/>
  <c r="D3" i="18"/>
  <c r="B3" i="18"/>
  <c r="H2" i="18"/>
  <c r="F2" i="18"/>
  <c r="D2" i="18"/>
  <c r="B2" i="18"/>
  <c r="H36" i="17" l="1"/>
  <c r="F36" i="17"/>
  <c r="D36" i="17"/>
  <c r="B36" i="17"/>
  <c r="H35" i="17"/>
  <c r="F35" i="17"/>
  <c r="D35" i="17"/>
  <c r="B35" i="17"/>
  <c r="H34" i="17"/>
  <c r="F34" i="17"/>
  <c r="D34" i="17"/>
  <c r="B34" i="17"/>
  <c r="H33" i="17"/>
  <c r="F33" i="17"/>
  <c r="D33" i="17"/>
  <c r="B33" i="17"/>
  <c r="H32" i="17"/>
  <c r="F32" i="17"/>
  <c r="D32" i="17"/>
  <c r="B32" i="17"/>
  <c r="H31" i="17"/>
  <c r="F31" i="17"/>
  <c r="D31" i="17"/>
  <c r="B31" i="17"/>
  <c r="H30" i="17"/>
  <c r="F30" i="17"/>
  <c r="D30" i="17"/>
  <c r="B30" i="17"/>
  <c r="H29" i="17"/>
  <c r="F29" i="17"/>
  <c r="D29" i="17"/>
  <c r="B29" i="17"/>
  <c r="H28" i="17"/>
  <c r="F28" i="17"/>
  <c r="D28" i="17"/>
  <c r="B28" i="17"/>
  <c r="H27" i="17"/>
  <c r="F27" i="17"/>
  <c r="D27" i="17"/>
  <c r="B27" i="17"/>
  <c r="H26" i="17"/>
  <c r="F26" i="17"/>
  <c r="D26" i="17"/>
  <c r="B26" i="17"/>
  <c r="H25" i="17"/>
  <c r="F25" i="17"/>
  <c r="D25" i="17"/>
  <c r="B25" i="17"/>
  <c r="H24" i="17"/>
  <c r="F24" i="17"/>
  <c r="D24" i="17"/>
  <c r="B24" i="17"/>
  <c r="H23" i="17"/>
  <c r="F23" i="17"/>
  <c r="D23" i="17"/>
  <c r="B23" i="17"/>
  <c r="H22" i="17"/>
  <c r="F22" i="17"/>
  <c r="D22" i="17"/>
  <c r="B22" i="17"/>
  <c r="H21" i="17"/>
  <c r="F21" i="17"/>
  <c r="D21" i="17"/>
  <c r="B21" i="17"/>
  <c r="H20" i="17"/>
  <c r="F20" i="17"/>
  <c r="D20" i="17"/>
  <c r="B20" i="17"/>
  <c r="H19" i="17"/>
  <c r="F19" i="17"/>
  <c r="D19" i="17"/>
  <c r="B19" i="17"/>
  <c r="H18" i="17"/>
  <c r="F18" i="17"/>
  <c r="D18" i="17"/>
  <c r="B18" i="17"/>
  <c r="H17" i="17"/>
  <c r="F17" i="17"/>
  <c r="D17" i="17"/>
  <c r="B17" i="17"/>
  <c r="H16" i="17"/>
  <c r="F16" i="17"/>
  <c r="D16" i="17"/>
  <c r="B16" i="17"/>
  <c r="H15" i="17"/>
  <c r="F15" i="17"/>
  <c r="D15" i="17"/>
  <c r="B15" i="17"/>
  <c r="H14" i="17"/>
  <c r="F14" i="17"/>
  <c r="D14" i="17"/>
  <c r="B14" i="17"/>
  <c r="H13" i="17"/>
  <c r="F13" i="17"/>
  <c r="D13" i="17"/>
  <c r="B13" i="17"/>
  <c r="H12" i="17"/>
  <c r="F12" i="17"/>
  <c r="D12" i="17"/>
  <c r="B12" i="17"/>
  <c r="H11" i="17"/>
  <c r="F11" i="17"/>
  <c r="D11" i="17"/>
  <c r="B11" i="17"/>
  <c r="H10" i="17"/>
  <c r="F10" i="17"/>
  <c r="D10" i="17"/>
  <c r="B10" i="17"/>
  <c r="H9" i="17"/>
  <c r="F9" i="17"/>
  <c r="D9" i="17"/>
  <c r="B9" i="17"/>
  <c r="H8" i="17"/>
  <c r="F8" i="17"/>
  <c r="D8" i="17"/>
  <c r="B8" i="17"/>
  <c r="H7" i="17"/>
  <c r="F7" i="17"/>
  <c r="D7" i="17"/>
  <c r="B7" i="17"/>
  <c r="H6" i="17"/>
  <c r="F6" i="17"/>
  <c r="D6" i="17"/>
  <c r="B6" i="17"/>
  <c r="H5" i="17"/>
  <c r="F5" i="17"/>
  <c r="D5" i="17"/>
  <c r="B5" i="17"/>
  <c r="H4" i="17"/>
  <c r="F4" i="17"/>
  <c r="D4" i="17"/>
  <c r="B4" i="17"/>
  <c r="H3" i="17"/>
  <c r="F3" i="17"/>
  <c r="D3" i="17"/>
  <c r="B3" i="17"/>
  <c r="H2" i="17"/>
  <c r="F2" i="17"/>
  <c r="D2" i="17"/>
  <c r="B2" i="17"/>
  <c r="H31" i="16" l="1"/>
  <c r="F31" i="16"/>
  <c r="D31" i="16"/>
  <c r="B31" i="16"/>
  <c r="H30" i="16"/>
  <c r="F30" i="16"/>
  <c r="D30" i="16"/>
  <c r="B30" i="16"/>
  <c r="H29" i="16"/>
  <c r="F29" i="16"/>
  <c r="D29" i="16"/>
  <c r="B29" i="16"/>
  <c r="H28" i="16"/>
  <c r="F28" i="16"/>
  <c r="D28" i="16"/>
  <c r="B28" i="16"/>
  <c r="H27" i="16"/>
  <c r="F27" i="16"/>
  <c r="D27" i="16"/>
  <c r="B27" i="16"/>
  <c r="H26" i="16"/>
  <c r="F26" i="16"/>
  <c r="D26" i="16"/>
  <c r="B26" i="16"/>
  <c r="H25" i="16"/>
  <c r="F25" i="16"/>
  <c r="D25" i="16"/>
  <c r="B25" i="16"/>
  <c r="H24" i="16"/>
  <c r="F24" i="16"/>
  <c r="D24" i="16"/>
  <c r="B24" i="16"/>
  <c r="H23" i="16"/>
  <c r="F23" i="16"/>
  <c r="D23" i="16"/>
  <c r="B23" i="16"/>
  <c r="H22" i="16"/>
  <c r="F22" i="16"/>
  <c r="D22" i="16"/>
  <c r="B22" i="16"/>
  <c r="H21" i="16"/>
  <c r="F21" i="16"/>
  <c r="D21" i="16"/>
  <c r="B21" i="16"/>
  <c r="H20" i="16"/>
  <c r="F20" i="16"/>
  <c r="D20" i="16"/>
  <c r="B20" i="16"/>
  <c r="H19" i="16"/>
  <c r="F19" i="16"/>
  <c r="D19" i="16"/>
  <c r="B19" i="16"/>
  <c r="H18" i="16"/>
  <c r="F18" i="16"/>
  <c r="D18" i="16"/>
  <c r="B18" i="16"/>
  <c r="H17" i="16"/>
  <c r="F17" i="16"/>
  <c r="D17" i="16"/>
  <c r="B17" i="16"/>
  <c r="H16" i="16"/>
  <c r="F16" i="16"/>
  <c r="D16" i="16"/>
  <c r="B16" i="16"/>
  <c r="H15" i="16"/>
  <c r="F15" i="16"/>
  <c r="D15" i="16"/>
  <c r="B15" i="16"/>
  <c r="H14" i="16"/>
  <c r="F14" i="16"/>
  <c r="D14" i="16"/>
  <c r="B14" i="16"/>
  <c r="H13" i="16"/>
  <c r="F13" i="16"/>
  <c r="D13" i="16"/>
  <c r="B13" i="16"/>
  <c r="H12" i="16"/>
  <c r="F12" i="16"/>
  <c r="D12" i="16"/>
  <c r="B12" i="16"/>
  <c r="H11" i="16"/>
  <c r="F11" i="16"/>
  <c r="D11" i="16"/>
  <c r="B11" i="16"/>
  <c r="H10" i="16"/>
  <c r="F10" i="16"/>
  <c r="D10" i="16"/>
  <c r="B10" i="16"/>
  <c r="H9" i="16"/>
  <c r="F9" i="16"/>
  <c r="D9" i="16"/>
  <c r="B9" i="16"/>
  <c r="H8" i="16"/>
  <c r="F8" i="16"/>
  <c r="D8" i="16"/>
  <c r="B8" i="16"/>
  <c r="H7" i="16"/>
  <c r="F7" i="16"/>
  <c r="D7" i="16"/>
  <c r="B7" i="16"/>
  <c r="H6" i="16"/>
  <c r="F6" i="16"/>
  <c r="D6" i="16"/>
  <c r="B6" i="16"/>
  <c r="H5" i="16"/>
  <c r="F5" i="16"/>
  <c r="D5" i="16"/>
  <c r="B5" i="16"/>
  <c r="H4" i="16"/>
  <c r="F4" i="16"/>
  <c r="D4" i="16"/>
  <c r="B4" i="16"/>
  <c r="H3" i="16"/>
  <c r="F3" i="16"/>
  <c r="D3" i="16"/>
  <c r="B3" i="16"/>
  <c r="H2" i="16"/>
  <c r="F2" i="16"/>
  <c r="D2" i="16"/>
  <c r="B2" i="16"/>
  <c r="H31" i="15" l="1"/>
  <c r="F31" i="15"/>
  <c r="D31" i="15"/>
  <c r="B31" i="15"/>
  <c r="H30" i="15"/>
  <c r="F30" i="15"/>
  <c r="D30" i="15"/>
  <c r="B30" i="15"/>
  <c r="H29" i="15"/>
  <c r="F29" i="15"/>
  <c r="D29" i="15"/>
  <c r="B29" i="15"/>
  <c r="H28" i="15"/>
  <c r="F28" i="15"/>
  <c r="D28" i="15"/>
  <c r="B28" i="15"/>
  <c r="H27" i="15"/>
  <c r="F27" i="15"/>
  <c r="D27" i="15"/>
  <c r="B27" i="15"/>
  <c r="H26" i="15"/>
  <c r="F26" i="15"/>
  <c r="D26" i="15"/>
  <c r="B26" i="15"/>
  <c r="H25" i="15"/>
  <c r="F25" i="15"/>
  <c r="D25" i="15"/>
  <c r="B25" i="15"/>
  <c r="H24" i="15"/>
  <c r="F24" i="15"/>
  <c r="D24" i="15"/>
  <c r="B24" i="15"/>
  <c r="H23" i="15"/>
  <c r="F23" i="15"/>
  <c r="D23" i="15"/>
  <c r="B23" i="15"/>
  <c r="H22" i="15"/>
  <c r="F22" i="15"/>
  <c r="D22" i="15"/>
  <c r="B22" i="15"/>
  <c r="H21" i="15"/>
  <c r="F21" i="15"/>
  <c r="D21" i="15"/>
  <c r="B21" i="15"/>
  <c r="H20" i="15"/>
  <c r="F20" i="15"/>
  <c r="D20" i="15"/>
  <c r="B20" i="15"/>
  <c r="H19" i="15"/>
  <c r="F19" i="15"/>
  <c r="D19" i="15"/>
  <c r="B19" i="15"/>
  <c r="H18" i="15"/>
  <c r="F18" i="15"/>
  <c r="D18" i="15"/>
  <c r="B18" i="15"/>
  <c r="H17" i="15"/>
  <c r="F17" i="15"/>
  <c r="D17" i="15"/>
  <c r="B17" i="15"/>
  <c r="H16" i="15"/>
  <c r="F16" i="15"/>
  <c r="D16" i="15"/>
  <c r="B16" i="15"/>
  <c r="H15" i="15"/>
  <c r="F15" i="15"/>
  <c r="D15" i="15"/>
  <c r="B15" i="15"/>
  <c r="H14" i="15"/>
  <c r="F14" i="15"/>
  <c r="D14" i="15"/>
  <c r="B14" i="15"/>
  <c r="H13" i="15"/>
  <c r="F13" i="15"/>
  <c r="D13" i="15"/>
  <c r="B13" i="15"/>
  <c r="H12" i="15"/>
  <c r="F12" i="15"/>
  <c r="D12" i="15"/>
  <c r="B12" i="15"/>
  <c r="H11" i="15"/>
  <c r="F11" i="15"/>
  <c r="D11" i="15"/>
  <c r="B11" i="15"/>
  <c r="H10" i="15"/>
  <c r="F10" i="15"/>
  <c r="D10" i="15"/>
  <c r="B10" i="15"/>
  <c r="H9" i="15"/>
  <c r="F9" i="15"/>
  <c r="D9" i="15"/>
  <c r="B9" i="15"/>
  <c r="H8" i="15"/>
  <c r="F8" i="15"/>
  <c r="D8" i="15"/>
  <c r="B8" i="15"/>
  <c r="H7" i="15"/>
  <c r="F7" i="15"/>
  <c r="D7" i="15"/>
  <c r="B7" i="15"/>
  <c r="H6" i="15"/>
  <c r="F6" i="15"/>
  <c r="D6" i="15"/>
  <c r="B6" i="15"/>
  <c r="H5" i="15"/>
  <c r="F5" i="15"/>
  <c r="D5" i="15"/>
  <c r="B5" i="15"/>
  <c r="H4" i="15"/>
  <c r="F4" i="15"/>
  <c r="D4" i="15"/>
  <c r="B4" i="15"/>
  <c r="H3" i="15"/>
  <c r="F3" i="15"/>
  <c r="D3" i="15"/>
  <c r="B3" i="15"/>
  <c r="H2" i="15"/>
  <c r="F2" i="15"/>
  <c r="D2" i="15"/>
  <c r="B2" i="15"/>
  <c r="H33" i="14" l="1"/>
  <c r="F33" i="14"/>
  <c r="D33" i="14"/>
  <c r="B33" i="14"/>
  <c r="H32" i="14"/>
  <c r="F32" i="14"/>
  <c r="D32" i="14"/>
  <c r="B32" i="14"/>
  <c r="H31" i="14"/>
  <c r="F31" i="14"/>
  <c r="D31" i="14"/>
  <c r="B31" i="14"/>
  <c r="H30" i="14"/>
  <c r="F30" i="14"/>
  <c r="D30" i="14"/>
  <c r="B30" i="14"/>
  <c r="H29" i="14"/>
  <c r="F29" i="14"/>
  <c r="D29" i="14"/>
  <c r="B29" i="14"/>
  <c r="H28" i="14"/>
  <c r="F28" i="14"/>
  <c r="D28" i="14"/>
  <c r="B28" i="14"/>
  <c r="H27" i="14"/>
  <c r="F27" i="14"/>
  <c r="D27" i="14"/>
  <c r="B27" i="14"/>
  <c r="H26" i="14"/>
  <c r="F26" i="14"/>
  <c r="D26" i="14"/>
  <c r="B26" i="14"/>
  <c r="H25" i="14"/>
  <c r="F25" i="14"/>
  <c r="D25" i="14"/>
  <c r="B25" i="14"/>
  <c r="H24" i="14"/>
  <c r="F24" i="14"/>
  <c r="D24" i="14"/>
  <c r="B24" i="14"/>
  <c r="H23" i="14"/>
  <c r="F23" i="14"/>
  <c r="D23" i="14"/>
  <c r="B23" i="14"/>
  <c r="H22" i="14"/>
  <c r="F22" i="14"/>
  <c r="D22" i="14"/>
  <c r="B22" i="14"/>
  <c r="H21" i="14"/>
  <c r="F21" i="14"/>
  <c r="D21" i="14"/>
  <c r="B21" i="14"/>
  <c r="H20" i="14"/>
  <c r="F20" i="14"/>
  <c r="D20" i="14"/>
  <c r="B20" i="14"/>
  <c r="H19" i="14"/>
  <c r="F19" i="14"/>
  <c r="D19" i="14"/>
  <c r="B19" i="14"/>
  <c r="H18" i="14"/>
  <c r="F18" i="14"/>
  <c r="D18" i="14"/>
  <c r="B18" i="14"/>
  <c r="H17" i="14"/>
  <c r="F17" i="14"/>
  <c r="D17" i="14"/>
  <c r="B17" i="14"/>
  <c r="H16" i="14"/>
  <c r="F16" i="14"/>
  <c r="D16" i="14"/>
  <c r="B16" i="14"/>
  <c r="H15" i="14"/>
  <c r="F15" i="14"/>
  <c r="D15" i="14"/>
  <c r="B15" i="14"/>
  <c r="H14" i="14"/>
  <c r="F14" i="14"/>
  <c r="D14" i="14"/>
  <c r="B14" i="14"/>
  <c r="H13" i="14"/>
  <c r="F13" i="14"/>
  <c r="D13" i="14"/>
  <c r="B13" i="14"/>
  <c r="H12" i="14"/>
  <c r="F12" i="14"/>
  <c r="D12" i="14"/>
  <c r="B12" i="14"/>
  <c r="H11" i="14"/>
  <c r="F11" i="14"/>
  <c r="D11" i="14"/>
  <c r="B11" i="14"/>
  <c r="H10" i="14"/>
  <c r="F10" i="14"/>
  <c r="D10" i="14"/>
  <c r="B10" i="14"/>
  <c r="H9" i="14"/>
  <c r="F9" i="14"/>
  <c r="D9" i="14"/>
  <c r="B9" i="14"/>
  <c r="H8" i="14"/>
  <c r="F8" i="14"/>
  <c r="D8" i="14"/>
  <c r="B8" i="14"/>
  <c r="H7" i="14"/>
  <c r="F7" i="14"/>
  <c r="D7" i="14"/>
  <c r="B7" i="14"/>
  <c r="H6" i="14"/>
  <c r="F6" i="14"/>
  <c r="D6" i="14"/>
  <c r="B6" i="14"/>
  <c r="H5" i="14"/>
  <c r="F5" i="14"/>
  <c r="D5" i="14"/>
  <c r="B5" i="14"/>
  <c r="H4" i="14"/>
  <c r="F4" i="14"/>
  <c r="D4" i="14"/>
  <c r="B4" i="14"/>
  <c r="H3" i="14"/>
  <c r="F3" i="14"/>
  <c r="D3" i="14"/>
  <c r="B3" i="14"/>
  <c r="H2" i="14"/>
  <c r="F2" i="14"/>
  <c r="D2" i="14"/>
  <c r="B2" i="14"/>
  <c r="H33" i="13" l="1"/>
  <c r="F33" i="13"/>
  <c r="D33" i="13"/>
  <c r="B33" i="13"/>
  <c r="H32" i="13"/>
  <c r="F32" i="13"/>
  <c r="D32" i="13"/>
  <c r="B32" i="13"/>
  <c r="H31" i="13"/>
  <c r="F31" i="13"/>
  <c r="D31" i="13"/>
  <c r="B31" i="13"/>
  <c r="H30" i="13"/>
  <c r="F30" i="13"/>
  <c r="D30" i="13"/>
  <c r="B30" i="13"/>
  <c r="H29" i="13"/>
  <c r="F29" i="13"/>
  <c r="D29" i="13"/>
  <c r="B29" i="13"/>
  <c r="H28" i="13"/>
  <c r="F28" i="13"/>
  <c r="D28" i="13"/>
  <c r="B28" i="13"/>
  <c r="H27" i="13"/>
  <c r="F27" i="13"/>
  <c r="D27" i="13"/>
  <c r="B27" i="13"/>
  <c r="H26" i="13"/>
  <c r="F26" i="13"/>
  <c r="D26" i="13"/>
  <c r="B26" i="13"/>
  <c r="H25" i="13"/>
  <c r="F25" i="13"/>
  <c r="D25" i="13"/>
  <c r="B25" i="13"/>
  <c r="H24" i="13"/>
  <c r="F24" i="13"/>
  <c r="D24" i="13"/>
  <c r="B24" i="13"/>
  <c r="H23" i="13"/>
  <c r="F23" i="13"/>
  <c r="D23" i="13"/>
  <c r="B23" i="13"/>
  <c r="H22" i="13"/>
  <c r="F22" i="13"/>
  <c r="D22" i="13"/>
  <c r="B22" i="13"/>
  <c r="H21" i="13"/>
  <c r="F21" i="13"/>
  <c r="D21" i="13"/>
  <c r="B21" i="13"/>
  <c r="H20" i="13"/>
  <c r="F20" i="13"/>
  <c r="D20" i="13"/>
  <c r="B20" i="13"/>
  <c r="H19" i="13"/>
  <c r="F19" i="13"/>
  <c r="D19" i="13"/>
  <c r="B19" i="13"/>
  <c r="H18" i="13"/>
  <c r="F18" i="13"/>
  <c r="D18" i="13"/>
  <c r="B18" i="13"/>
  <c r="H17" i="13"/>
  <c r="F17" i="13"/>
  <c r="D17" i="13"/>
  <c r="B17" i="13"/>
  <c r="H16" i="13"/>
  <c r="F16" i="13"/>
  <c r="D16" i="13"/>
  <c r="B16" i="13"/>
  <c r="H15" i="13"/>
  <c r="F15" i="13"/>
  <c r="D15" i="13"/>
  <c r="B15" i="13"/>
  <c r="H14" i="13"/>
  <c r="F14" i="13"/>
  <c r="D14" i="13"/>
  <c r="B14" i="13"/>
  <c r="H13" i="13"/>
  <c r="F13" i="13"/>
  <c r="D13" i="13"/>
  <c r="B13" i="13"/>
  <c r="H12" i="13"/>
  <c r="F12" i="13"/>
  <c r="D12" i="13"/>
  <c r="B12" i="13"/>
  <c r="H11" i="13"/>
  <c r="F11" i="13"/>
  <c r="D11" i="13"/>
  <c r="B11" i="13"/>
  <c r="H10" i="13"/>
  <c r="F10" i="13"/>
  <c r="D10" i="13"/>
  <c r="B10" i="13"/>
  <c r="H9" i="13"/>
  <c r="F9" i="13"/>
  <c r="D9" i="13"/>
  <c r="B9" i="13"/>
  <c r="H8" i="13"/>
  <c r="F8" i="13"/>
  <c r="D8" i="13"/>
  <c r="B8" i="13"/>
  <c r="H7" i="13"/>
  <c r="F7" i="13"/>
  <c r="D7" i="13"/>
  <c r="B7" i="13"/>
  <c r="H6" i="13"/>
  <c r="F6" i="13"/>
  <c r="D6" i="13"/>
  <c r="B6" i="13"/>
  <c r="H5" i="13"/>
  <c r="F5" i="13"/>
  <c r="D5" i="13"/>
  <c r="B5" i="13"/>
  <c r="H4" i="13"/>
  <c r="F4" i="13"/>
  <c r="D4" i="13"/>
  <c r="B4" i="13"/>
  <c r="H3" i="13"/>
  <c r="F3" i="13"/>
  <c r="D3" i="13"/>
  <c r="B3" i="13"/>
  <c r="H2" i="13"/>
  <c r="F2" i="13"/>
  <c r="D2" i="13"/>
  <c r="B2" i="13"/>
  <c r="H33" i="12" l="1"/>
  <c r="F33" i="12"/>
  <c r="D33" i="12"/>
  <c r="B33" i="12"/>
  <c r="H32" i="12"/>
  <c r="F32" i="12"/>
  <c r="D32" i="12"/>
  <c r="B32" i="12"/>
  <c r="H31" i="12"/>
  <c r="F31" i="12"/>
  <c r="D31" i="12"/>
  <c r="B31" i="12"/>
  <c r="H30" i="12"/>
  <c r="F30" i="12"/>
  <c r="D30" i="12"/>
  <c r="B30" i="12"/>
  <c r="H29" i="12"/>
  <c r="F29" i="12"/>
  <c r="D29" i="12"/>
  <c r="B29" i="12"/>
  <c r="H28" i="12"/>
  <c r="F28" i="12"/>
  <c r="D28" i="12"/>
  <c r="B28" i="12"/>
  <c r="H27" i="12"/>
  <c r="F27" i="12"/>
  <c r="D27" i="12"/>
  <c r="B27" i="12"/>
  <c r="H26" i="12"/>
  <c r="F26" i="12"/>
  <c r="D26" i="12"/>
  <c r="B26" i="12"/>
  <c r="H25" i="12"/>
  <c r="F25" i="12"/>
  <c r="D25" i="12"/>
  <c r="B25" i="12"/>
  <c r="H24" i="12"/>
  <c r="F24" i="12"/>
  <c r="D24" i="12"/>
  <c r="B24" i="12"/>
  <c r="H23" i="12"/>
  <c r="F23" i="12"/>
  <c r="D23" i="12"/>
  <c r="B23" i="12"/>
  <c r="H22" i="12"/>
  <c r="F22" i="12"/>
  <c r="D22" i="12"/>
  <c r="B22" i="12"/>
  <c r="H21" i="12"/>
  <c r="F21" i="12"/>
  <c r="D21" i="12"/>
  <c r="B21" i="12"/>
  <c r="H20" i="12"/>
  <c r="F20" i="12"/>
  <c r="D20" i="12"/>
  <c r="B20" i="12"/>
  <c r="H19" i="12"/>
  <c r="F19" i="12"/>
  <c r="D19" i="12"/>
  <c r="B19" i="12"/>
  <c r="H18" i="12"/>
  <c r="F18" i="12"/>
  <c r="D18" i="12"/>
  <c r="B18" i="12"/>
  <c r="H17" i="12"/>
  <c r="F17" i="12"/>
  <c r="D17" i="12"/>
  <c r="B17" i="12"/>
  <c r="H16" i="12"/>
  <c r="F16" i="12"/>
  <c r="D16" i="12"/>
  <c r="B16" i="12"/>
  <c r="H15" i="12"/>
  <c r="F15" i="12"/>
  <c r="D15" i="12"/>
  <c r="B15" i="12"/>
  <c r="H14" i="12"/>
  <c r="F14" i="12"/>
  <c r="D14" i="12"/>
  <c r="B14" i="12"/>
  <c r="H13" i="12"/>
  <c r="F13" i="12"/>
  <c r="D13" i="12"/>
  <c r="B13" i="12"/>
  <c r="H12" i="12"/>
  <c r="F12" i="12"/>
  <c r="D12" i="12"/>
  <c r="B12" i="12"/>
  <c r="H11" i="12"/>
  <c r="F11" i="12"/>
  <c r="D11" i="12"/>
  <c r="B11" i="12"/>
  <c r="H10" i="12"/>
  <c r="F10" i="12"/>
  <c r="D10" i="12"/>
  <c r="B10" i="12"/>
  <c r="H9" i="12"/>
  <c r="F9" i="12"/>
  <c r="D9" i="12"/>
  <c r="B9" i="12"/>
  <c r="H8" i="12"/>
  <c r="F8" i="12"/>
  <c r="D8" i="12"/>
  <c r="B8" i="12"/>
  <c r="H7" i="12"/>
  <c r="F7" i="12"/>
  <c r="D7" i="12"/>
  <c r="B7" i="12"/>
  <c r="H6" i="12"/>
  <c r="F6" i="12"/>
  <c r="D6" i="12"/>
  <c r="B6" i="12"/>
  <c r="H5" i="12"/>
  <c r="F5" i="12"/>
  <c r="D5" i="12"/>
  <c r="B5" i="12"/>
  <c r="H4" i="12"/>
  <c r="F4" i="12"/>
  <c r="D4" i="12"/>
  <c r="B4" i="12"/>
  <c r="H3" i="12"/>
  <c r="F3" i="12"/>
  <c r="D3" i="12"/>
  <c r="B3" i="12"/>
  <c r="H2" i="12"/>
  <c r="F2" i="12"/>
  <c r="D2" i="12"/>
  <c r="B2" i="12"/>
  <c r="H33" i="11" l="1"/>
  <c r="F33" i="11"/>
  <c r="D33" i="11"/>
  <c r="B33" i="11"/>
  <c r="H32" i="11"/>
  <c r="F32" i="11"/>
  <c r="D32" i="11"/>
  <c r="B32" i="11"/>
  <c r="H31" i="11"/>
  <c r="F31" i="11"/>
  <c r="D31" i="11"/>
  <c r="B31" i="11"/>
  <c r="H30" i="11"/>
  <c r="F30" i="11"/>
  <c r="D30" i="11"/>
  <c r="B30" i="11"/>
  <c r="H29" i="11"/>
  <c r="F29" i="11"/>
  <c r="D29" i="11"/>
  <c r="B29" i="11"/>
  <c r="H28" i="11"/>
  <c r="F28" i="11"/>
  <c r="D28" i="11"/>
  <c r="B28" i="11"/>
  <c r="H27" i="11"/>
  <c r="F27" i="11"/>
  <c r="D27" i="11"/>
  <c r="B27" i="11"/>
  <c r="H26" i="11"/>
  <c r="F26" i="11"/>
  <c r="D26" i="11"/>
  <c r="B26" i="11"/>
  <c r="H25" i="11"/>
  <c r="F25" i="11"/>
  <c r="D25" i="11"/>
  <c r="B25" i="11"/>
  <c r="H24" i="11"/>
  <c r="F24" i="11"/>
  <c r="D24" i="11"/>
  <c r="B24" i="11"/>
  <c r="H23" i="11"/>
  <c r="F23" i="11"/>
  <c r="D23" i="11"/>
  <c r="B23" i="11"/>
  <c r="H22" i="11"/>
  <c r="F22" i="11"/>
  <c r="D22" i="11"/>
  <c r="B22" i="11"/>
  <c r="H21" i="11"/>
  <c r="F21" i="11"/>
  <c r="D21" i="11"/>
  <c r="B21" i="11"/>
  <c r="H20" i="11"/>
  <c r="F20" i="11"/>
  <c r="D20" i="11"/>
  <c r="B20" i="11"/>
  <c r="H19" i="11"/>
  <c r="F19" i="11"/>
  <c r="D19" i="11"/>
  <c r="B19" i="11"/>
  <c r="H18" i="11"/>
  <c r="F18" i="11"/>
  <c r="D18" i="11"/>
  <c r="B18" i="11"/>
  <c r="H17" i="11"/>
  <c r="F17" i="11"/>
  <c r="D17" i="11"/>
  <c r="B17" i="11"/>
  <c r="H16" i="11"/>
  <c r="F16" i="11"/>
  <c r="D16" i="11"/>
  <c r="B16" i="11"/>
  <c r="H15" i="11"/>
  <c r="F15" i="11"/>
  <c r="D15" i="11"/>
  <c r="B15" i="11"/>
  <c r="H14" i="11"/>
  <c r="F14" i="11"/>
  <c r="D14" i="11"/>
  <c r="B14" i="11"/>
  <c r="H13" i="11"/>
  <c r="F13" i="11"/>
  <c r="D13" i="11"/>
  <c r="B13" i="11"/>
  <c r="H12" i="11"/>
  <c r="F12" i="11"/>
  <c r="D12" i="11"/>
  <c r="B12" i="11"/>
  <c r="H11" i="11"/>
  <c r="F11" i="11"/>
  <c r="D11" i="11"/>
  <c r="B11" i="11"/>
  <c r="H10" i="11"/>
  <c r="F10" i="11"/>
  <c r="D10" i="11"/>
  <c r="B10" i="11"/>
  <c r="H9" i="11"/>
  <c r="F9" i="11"/>
  <c r="D9" i="11"/>
  <c r="B9" i="11"/>
  <c r="H8" i="11"/>
  <c r="F8" i="11"/>
  <c r="D8" i="11"/>
  <c r="B8" i="11"/>
  <c r="H7" i="11"/>
  <c r="F7" i="11"/>
  <c r="D7" i="11"/>
  <c r="B7" i="11"/>
  <c r="H6" i="11"/>
  <c r="F6" i="11"/>
  <c r="D6" i="11"/>
  <c r="B6" i="11"/>
  <c r="H5" i="11"/>
  <c r="F5" i="11"/>
  <c r="D5" i="11"/>
  <c r="B5" i="11"/>
  <c r="H4" i="11"/>
  <c r="F4" i="11"/>
  <c r="D4" i="11"/>
  <c r="B4" i="11"/>
  <c r="H3" i="11"/>
  <c r="F3" i="11"/>
  <c r="D3" i="11"/>
  <c r="B3" i="11"/>
  <c r="H2" i="11"/>
  <c r="F2" i="11"/>
  <c r="D2" i="11"/>
  <c r="B2" i="11"/>
  <c r="H10" i="10" l="1"/>
  <c r="F10" i="10"/>
  <c r="D10" i="10"/>
  <c r="B10" i="10"/>
  <c r="H9" i="10"/>
  <c r="F9" i="10"/>
  <c r="D9" i="10"/>
  <c r="B9" i="10"/>
  <c r="H8" i="10"/>
  <c r="F8" i="10"/>
  <c r="D8" i="10"/>
  <c r="B8" i="10"/>
  <c r="H7" i="10"/>
  <c r="F7" i="10"/>
  <c r="D7" i="10"/>
  <c r="B7" i="10"/>
  <c r="H6" i="10"/>
  <c r="F6" i="10"/>
  <c r="D6" i="10"/>
  <c r="B6" i="10"/>
  <c r="H5" i="10"/>
  <c r="F5" i="10"/>
  <c r="D5" i="10"/>
  <c r="B5" i="10"/>
  <c r="H4" i="10"/>
  <c r="F4" i="10"/>
  <c r="D4" i="10"/>
  <c r="B4" i="10"/>
  <c r="H3" i="10"/>
  <c r="F3" i="10"/>
  <c r="D3" i="10"/>
  <c r="B3" i="10"/>
  <c r="H2" i="10"/>
  <c r="F2" i="10"/>
  <c r="D2" i="10"/>
  <c r="B2" i="10"/>
  <c r="H10" i="9" l="1"/>
  <c r="F10" i="9"/>
  <c r="D10" i="9"/>
  <c r="B10" i="9"/>
  <c r="H9" i="9"/>
  <c r="F9" i="9"/>
  <c r="D9" i="9"/>
  <c r="B9" i="9"/>
  <c r="H8" i="9"/>
  <c r="F8" i="9"/>
  <c r="D8" i="9"/>
  <c r="B8" i="9"/>
  <c r="H7" i="9"/>
  <c r="F7" i="9"/>
  <c r="D7" i="9"/>
  <c r="B7" i="9"/>
  <c r="H6" i="9"/>
  <c r="F6" i="9"/>
  <c r="D6" i="9"/>
  <c r="B6" i="9"/>
  <c r="H5" i="9"/>
  <c r="F5" i="9"/>
  <c r="D5" i="9"/>
  <c r="B5" i="9"/>
  <c r="H4" i="9"/>
  <c r="F4" i="9"/>
  <c r="D4" i="9"/>
  <c r="B4" i="9"/>
  <c r="H3" i="9"/>
  <c r="F3" i="9"/>
  <c r="D3" i="9"/>
  <c r="B3" i="9"/>
  <c r="H2" i="9"/>
  <c r="F2" i="9"/>
  <c r="D2" i="9"/>
  <c r="B2" i="9"/>
  <c r="H28" i="8" l="1"/>
  <c r="F28" i="8"/>
  <c r="D28" i="8"/>
  <c r="B28" i="8"/>
  <c r="H27" i="8"/>
  <c r="F27" i="8"/>
  <c r="D27" i="8"/>
  <c r="B27" i="8"/>
  <c r="H26" i="8"/>
  <c r="F26" i="8"/>
  <c r="D26" i="8"/>
  <c r="B26" i="8"/>
  <c r="H25" i="8"/>
  <c r="F25" i="8"/>
  <c r="D25" i="8"/>
  <c r="B25" i="8"/>
  <c r="H24" i="8"/>
  <c r="F24" i="8"/>
  <c r="D24" i="8"/>
  <c r="B24" i="8"/>
  <c r="H23" i="8"/>
  <c r="F23" i="8"/>
  <c r="D23" i="8"/>
  <c r="B23" i="8"/>
  <c r="H22" i="8"/>
  <c r="F22" i="8"/>
  <c r="D22" i="8"/>
  <c r="B22" i="8"/>
  <c r="H21" i="8"/>
  <c r="F21" i="8"/>
  <c r="D21" i="8"/>
  <c r="B21" i="8"/>
  <c r="H20" i="8"/>
  <c r="F20" i="8"/>
  <c r="D20" i="8"/>
  <c r="B20" i="8"/>
  <c r="H19" i="8"/>
  <c r="F19" i="8"/>
  <c r="D19" i="8"/>
  <c r="B19" i="8"/>
  <c r="H18" i="8"/>
  <c r="F18" i="8"/>
  <c r="D18" i="8"/>
  <c r="B18" i="8"/>
  <c r="H17" i="8"/>
  <c r="F17" i="8"/>
  <c r="D17" i="8"/>
  <c r="B17" i="8"/>
  <c r="H16" i="8"/>
  <c r="F16" i="8"/>
  <c r="D16" i="8"/>
  <c r="B16" i="8"/>
  <c r="H15" i="8"/>
  <c r="F15" i="8"/>
  <c r="D15" i="8"/>
  <c r="B15" i="8"/>
  <c r="H14" i="8"/>
  <c r="F14" i="8"/>
  <c r="D14" i="8"/>
  <c r="B14" i="8"/>
  <c r="H13" i="8"/>
  <c r="F13" i="8"/>
  <c r="D13" i="8"/>
  <c r="B13" i="8"/>
  <c r="H12" i="8"/>
  <c r="F12" i="8"/>
  <c r="D12" i="8"/>
  <c r="B12" i="8"/>
  <c r="H11" i="8"/>
  <c r="F11" i="8"/>
  <c r="D11" i="8"/>
  <c r="B11" i="8"/>
  <c r="H10" i="8"/>
  <c r="F10" i="8"/>
  <c r="D10" i="8"/>
  <c r="B10" i="8"/>
  <c r="H9" i="8"/>
  <c r="F9" i="8"/>
  <c r="D9" i="8"/>
  <c r="B9" i="8"/>
  <c r="H8" i="8"/>
  <c r="F8" i="8"/>
  <c r="D8" i="8"/>
  <c r="B8" i="8"/>
  <c r="H7" i="8"/>
  <c r="F7" i="8"/>
  <c r="D7" i="8"/>
  <c r="B7" i="8"/>
  <c r="H6" i="8"/>
  <c r="F6" i="8"/>
  <c r="D6" i="8"/>
  <c r="B6" i="8"/>
  <c r="H5" i="8"/>
  <c r="F5" i="8"/>
  <c r="D5" i="8"/>
  <c r="B5" i="8"/>
  <c r="H4" i="8"/>
  <c r="F4" i="8"/>
  <c r="D4" i="8"/>
  <c r="B4" i="8"/>
  <c r="H3" i="8"/>
  <c r="F3" i="8"/>
  <c r="D3" i="8"/>
  <c r="B3" i="8"/>
  <c r="H2" i="8"/>
  <c r="F2" i="8"/>
  <c r="D2" i="8"/>
  <c r="B2" i="8"/>
  <c r="H28" i="7" l="1"/>
  <c r="F28" i="7"/>
  <c r="D28" i="7"/>
  <c r="B28" i="7"/>
  <c r="H27" i="7"/>
  <c r="F27" i="7"/>
  <c r="D27" i="7"/>
  <c r="B27" i="7"/>
  <c r="H26" i="7"/>
  <c r="F26" i="7"/>
  <c r="D26" i="7"/>
  <c r="B26" i="7"/>
  <c r="H25" i="7"/>
  <c r="F25" i="7"/>
  <c r="D25" i="7"/>
  <c r="B25" i="7"/>
  <c r="H24" i="7"/>
  <c r="F24" i="7"/>
  <c r="D24" i="7"/>
  <c r="B24" i="7"/>
  <c r="H23" i="7"/>
  <c r="F23" i="7"/>
  <c r="D23" i="7"/>
  <c r="B23" i="7"/>
  <c r="H22" i="7"/>
  <c r="F22" i="7"/>
  <c r="D22" i="7"/>
  <c r="B22" i="7"/>
  <c r="H21" i="7"/>
  <c r="F21" i="7"/>
  <c r="D21" i="7"/>
  <c r="B21" i="7"/>
  <c r="H20" i="7"/>
  <c r="F20" i="7"/>
  <c r="D20" i="7"/>
  <c r="B20" i="7"/>
  <c r="H19" i="7"/>
  <c r="F19" i="7"/>
  <c r="D19" i="7"/>
  <c r="B19" i="7"/>
  <c r="H18" i="7"/>
  <c r="F18" i="7"/>
  <c r="D18" i="7"/>
  <c r="B18" i="7"/>
  <c r="H17" i="7"/>
  <c r="F17" i="7"/>
  <c r="D17" i="7"/>
  <c r="B17" i="7"/>
  <c r="H16" i="7"/>
  <c r="F16" i="7"/>
  <c r="D16" i="7"/>
  <c r="B16" i="7"/>
  <c r="H15" i="7"/>
  <c r="F15" i="7"/>
  <c r="D15" i="7"/>
  <c r="B15" i="7"/>
  <c r="H14" i="7"/>
  <c r="F14" i="7"/>
  <c r="D14" i="7"/>
  <c r="B14" i="7"/>
  <c r="H13" i="7"/>
  <c r="F13" i="7"/>
  <c r="D13" i="7"/>
  <c r="B13" i="7"/>
  <c r="H12" i="7"/>
  <c r="F12" i="7"/>
  <c r="D12" i="7"/>
  <c r="B12" i="7"/>
  <c r="H11" i="7"/>
  <c r="F11" i="7"/>
  <c r="D11" i="7"/>
  <c r="B11" i="7"/>
  <c r="H10" i="7"/>
  <c r="F10" i="7"/>
  <c r="D10" i="7"/>
  <c r="B10" i="7"/>
  <c r="H9" i="7"/>
  <c r="F9" i="7"/>
  <c r="D9" i="7"/>
  <c r="B9" i="7"/>
  <c r="H8" i="7"/>
  <c r="F8" i="7"/>
  <c r="D8" i="7"/>
  <c r="B8" i="7"/>
  <c r="H7" i="7"/>
  <c r="F7" i="7"/>
  <c r="D7" i="7"/>
  <c r="B7" i="7"/>
  <c r="H6" i="7"/>
  <c r="F6" i="7"/>
  <c r="D6" i="7"/>
  <c r="B6" i="7"/>
  <c r="H5" i="7"/>
  <c r="F5" i="7"/>
  <c r="D5" i="7"/>
  <c r="B5" i="7"/>
  <c r="H4" i="7"/>
  <c r="F4" i="7"/>
  <c r="D4" i="7"/>
  <c r="B4" i="7"/>
  <c r="H3" i="7"/>
  <c r="F3" i="7"/>
  <c r="D3" i="7"/>
  <c r="B3" i="7"/>
  <c r="H2" i="7"/>
  <c r="F2" i="7"/>
  <c r="D2" i="7"/>
  <c r="B2" i="7"/>
  <c r="H34" i="6" l="1"/>
  <c r="F34" i="6"/>
  <c r="D34" i="6"/>
  <c r="B34" i="6"/>
  <c r="H33" i="6"/>
  <c r="F33" i="6"/>
  <c r="D33" i="6"/>
  <c r="B33" i="6"/>
  <c r="H32" i="6"/>
  <c r="F32" i="6"/>
  <c r="D32" i="6"/>
  <c r="B32" i="6"/>
  <c r="H31" i="6"/>
  <c r="F31" i="6"/>
  <c r="D31" i="6"/>
  <c r="B31" i="6"/>
  <c r="H30" i="6"/>
  <c r="F30" i="6"/>
  <c r="D30" i="6"/>
  <c r="B30" i="6"/>
  <c r="H29" i="6"/>
  <c r="F29" i="6"/>
  <c r="D29" i="6"/>
  <c r="B29" i="6"/>
  <c r="H28" i="6"/>
  <c r="F28" i="6"/>
  <c r="D28" i="6"/>
  <c r="B28" i="6"/>
  <c r="H27" i="6"/>
  <c r="F27" i="6"/>
  <c r="D27" i="6"/>
  <c r="B27" i="6"/>
  <c r="H26" i="6"/>
  <c r="F26" i="6"/>
  <c r="D26" i="6"/>
  <c r="B26" i="6"/>
  <c r="H25" i="6"/>
  <c r="F25" i="6"/>
  <c r="D25" i="6"/>
  <c r="B25" i="6"/>
  <c r="H24" i="6"/>
  <c r="F24" i="6"/>
  <c r="D24" i="6"/>
  <c r="B24" i="6"/>
  <c r="H23" i="6"/>
  <c r="F23" i="6"/>
  <c r="D23" i="6"/>
  <c r="B23" i="6"/>
  <c r="H22" i="6"/>
  <c r="F22" i="6"/>
  <c r="D22" i="6"/>
  <c r="B22" i="6"/>
  <c r="H21" i="6"/>
  <c r="F21" i="6"/>
  <c r="D21" i="6"/>
  <c r="B21" i="6"/>
  <c r="H20" i="6"/>
  <c r="F20" i="6"/>
  <c r="D20" i="6"/>
  <c r="B20" i="6"/>
  <c r="H19" i="6"/>
  <c r="F19" i="6"/>
  <c r="D19" i="6"/>
  <c r="B19" i="6"/>
  <c r="H18" i="6"/>
  <c r="F18" i="6"/>
  <c r="D18" i="6"/>
  <c r="B18" i="6"/>
  <c r="H17" i="6"/>
  <c r="F17" i="6"/>
  <c r="D17" i="6"/>
  <c r="B17" i="6"/>
  <c r="H16" i="6"/>
  <c r="F16" i="6"/>
  <c r="D16" i="6"/>
  <c r="B16" i="6"/>
  <c r="H15" i="6"/>
  <c r="F15" i="6"/>
  <c r="D15" i="6"/>
  <c r="B15" i="6"/>
  <c r="H14" i="6"/>
  <c r="F14" i="6"/>
  <c r="D14" i="6"/>
  <c r="B14" i="6"/>
  <c r="H13" i="6"/>
  <c r="F13" i="6"/>
  <c r="D13" i="6"/>
  <c r="B13" i="6"/>
  <c r="H12" i="6"/>
  <c r="F12" i="6"/>
  <c r="D12" i="6"/>
  <c r="B12" i="6"/>
  <c r="H11" i="6"/>
  <c r="F11" i="6"/>
  <c r="D11" i="6"/>
  <c r="B11" i="6"/>
  <c r="H10" i="6"/>
  <c r="F10" i="6"/>
  <c r="D10" i="6"/>
  <c r="B10" i="6"/>
  <c r="H9" i="6"/>
  <c r="F9" i="6"/>
  <c r="D9" i="6"/>
  <c r="B9" i="6"/>
  <c r="H8" i="6"/>
  <c r="F8" i="6"/>
  <c r="D8" i="6"/>
  <c r="B8" i="6"/>
  <c r="H7" i="6"/>
  <c r="F7" i="6"/>
  <c r="D7" i="6"/>
  <c r="B7" i="6"/>
  <c r="H6" i="6"/>
  <c r="F6" i="6"/>
  <c r="D6" i="6"/>
  <c r="B6" i="6"/>
  <c r="H5" i="6"/>
  <c r="F5" i="6"/>
  <c r="D5" i="6"/>
  <c r="B5" i="6"/>
  <c r="H4" i="6"/>
  <c r="F4" i="6"/>
  <c r="D4" i="6"/>
  <c r="B4" i="6"/>
  <c r="H3" i="6"/>
  <c r="F3" i="6"/>
  <c r="D3" i="6"/>
  <c r="B3" i="6"/>
  <c r="H2" i="6"/>
  <c r="F2" i="6"/>
  <c r="D2" i="6"/>
  <c r="B2" i="6"/>
  <c r="H34" i="5" l="1"/>
  <c r="F34" i="5"/>
  <c r="D34" i="5"/>
  <c r="B34" i="5"/>
  <c r="H33" i="5"/>
  <c r="F33" i="5"/>
  <c r="D33" i="5"/>
  <c r="B33" i="5"/>
  <c r="H32" i="5"/>
  <c r="F32" i="5"/>
  <c r="D32" i="5"/>
  <c r="B32" i="5"/>
  <c r="H31" i="5"/>
  <c r="F31" i="5"/>
  <c r="D31" i="5"/>
  <c r="B31" i="5"/>
  <c r="H30" i="5"/>
  <c r="F30" i="5"/>
  <c r="D30" i="5"/>
  <c r="B30" i="5"/>
  <c r="H29" i="5"/>
  <c r="F29" i="5"/>
  <c r="D29" i="5"/>
  <c r="B29" i="5"/>
  <c r="H28" i="5"/>
  <c r="F28" i="5"/>
  <c r="D28" i="5"/>
  <c r="B28" i="5"/>
  <c r="H27" i="5"/>
  <c r="F27" i="5"/>
  <c r="D27" i="5"/>
  <c r="B27" i="5"/>
  <c r="H26" i="5"/>
  <c r="F26" i="5"/>
  <c r="D26" i="5"/>
  <c r="B26" i="5"/>
  <c r="H25" i="5"/>
  <c r="F25" i="5"/>
  <c r="D25" i="5"/>
  <c r="B25" i="5"/>
  <c r="H24" i="5"/>
  <c r="F24" i="5"/>
  <c r="D24" i="5"/>
  <c r="B24" i="5"/>
  <c r="H23" i="5"/>
  <c r="F23" i="5"/>
  <c r="D23" i="5"/>
  <c r="B23" i="5"/>
  <c r="H22" i="5"/>
  <c r="F22" i="5"/>
  <c r="D22" i="5"/>
  <c r="B22" i="5"/>
  <c r="H21" i="5"/>
  <c r="F21" i="5"/>
  <c r="D21" i="5"/>
  <c r="B21" i="5"/>
  <c r="H20" i="5"/>
  <c r="F20" i="5"/>
  <c r="D20" i="5"/>
  <c r="B20" i="5"/>
  <c r="H19" i="5"/>
  <c r="F19" i="5"/>
  <c r="D19" i="5"/>
  <c r="B19" i="5"/>
  <c r="H18" i="5"/>
  <c r="F18" i="5"/>
  <c r="D18" i="5"/>
  <c r="B18" i="5"/>
  <c r="H17" i="5"/>
  <c r="F17" i="5"/>
  <c r="D17" i="5"/>
  <c r="B17" i="5"/>
  <c r="H16" i="5"/>
  <c r="F16" i="5"/>
  <c r="D16" i="5"/>
  <c r="B16" i="5"/>
  <c r="H15" i="5"/>
  <c r="F15" i="5"/>
  <c r="D15" i="5"/>
  <c r="B15" i="5"/>
  <c r="H14" i="5"/>
  <c r="F14" i="5"/>
  <c r="D14" i="5"/>
  <c r="B14" i="5"/>
  <c r="H13" i="5"/>
  <c r="F13" i="5"/>
  <c r="D13" i="5"/>
  <c r="B13" i="5"/>
  <c r="H12" i="5"/>
  <c r="F12" i="5"/>
  <c r="D12" i="5"/>
  <c r="B12" i="5"/>
  <c r="H11" i="5"/>
  <c r="F11" i="5"/>
  <c r="D11" i="5"/>
  <c r="B11" i="5"/>
  <c r="H10" i="5"/>
  <c r="F10" i="5"/>
  <c r="D10" i="5"/>
  <c r="B10" i="5"/>
  <c r="H9" i="5"/>
  <c r="F9" i="5"/>
  <c r="D9" i="5"/>
  <c r="B9" i="5"/>
  <c r="H8" i="5"/>
  <c r="F8" i="5"/>
  <c r="D8" i="5"/>
  <c r="B8" i="5"/>
  <c r="H7" i="5"/>
  <c r="F7" i="5"/>
  <c r="D7" i="5"/>
  <c r="B7" i="5"/>
  <c r="H6" i="5"/>
  <c r="F6" i="5"/>
  <c r="D6" i="5"/>
  <c r="B6" i="5"/>
  <c r="H5" i="5"/>
  <c r="F5" i="5"/>
  <c r="D5" i="5"/>
  <c r="B5" i="5"/>
  <c r="H4" i="5"/>
  <c r="F4" i="5"/>
  <c r="D4" i="5"/>
  <c r="B4" i="5"/>
  <c r="H3" i="5"/>
  <c r="F3" i="5"/>
  <c r="D3" i="5"/>
  <c r="B3" i="5"/>
  <c r="H2" i="5"/>
  <c r="F2" i="5"/>
  <c r="D2" i="5"/>
  <c r="B2" i="5"/>
  <c r="H33" i="4" l="1"/>
  <c r="F33" i="4"/>
  <c r="D33" i="4"/>
  <c r="B33" i="4"/>
  <c r="H32" i="4"/>
  <c r="F32" i="4"/>
  <c r="D32" i="4"/>
  <c r="B32" i="4"/>
  <c r="H31" i="4"/>
  <c r="F31" i="4"/>
  <c r="D31" i="4"/>
  <c r="B31" i="4"/>
  <c r="H30" i="4"/>
  <c r="F30" i="4"/>
  <c r="D30" i="4"/>
  <c r="B30" i="4"/>
  <c r="H29" i="4"/>
  <c r="F29" i="4"/>
  <c r="D29" i="4"/>
  <c r="B29" i="4"/>
  <c r="H28" i="4"/>
  <c r="F28" i="4"/>
  <c r="D28" i="4"/>
  <c r="B28" i="4"/>
  <c r="H27" i="4"/>
  <c r="F27" i="4"/>
  <c r="D27" i="4"/>
  <c r="B27" i="4"/>
  <c r="H26" i="4"/>
  <c r="F26" i="4"/>
  <c r="D26" i="4"/>
  <c r="B26" i="4"/>
  <c r="H25" i="4"/>
  <c r="F25" i="4"/>
  <c r="D25" i="4"/>
  <c r="B25" i="4"/>
  <c r="H24" i="4"/>
  <c r="F24" i="4"/>
  <c r="D24" i="4"/>
  <c r="B24" i="4"/>
  <c r="H23" i="4"/>
  <c r="F23" i="4"/>
  <c r="D23" i="4"/>
  <c r="B23" i="4"/>
  <c r="H22" i="4"/>
  <c r="F22" i="4"/>
  <c r="D22" i="4"/>
  <c r="B22" i="4"/>
  <c r="H21" i="4"/>
  <c r="F21" i="4"/>
  <c r="D21" i="4"/>
  <c r="B21" i="4"/>
  <c r="H20" i="4"/>
  <c r="F20" i="4"/>
  <c r="D20" i="4"/>
  <c r="B20" i="4"/>
  <c r="H19" i="4"/>
  <c r="F19" i="4"/>
  <c r="D19" i="4"/>
  <c r="B19" i="4"/>
  <c r="H18" i="4"/>
  <c r="F18" i="4"/>
  <c r="D18" i="4"/>
  <c r="B18" i="4"/>
  <c r="H17" i="4"/>
  <c r="F17" i="4"/>
  <c r="D17" i="4"/>
  <c r="B17" i="4"/>
  <c r="H16" i="4"/>
  <c r="F16" i="4"/>
  <c r="D16" i="4"/>
  <c r="B16" i="4"/>
  <c r="H15" i="4"/>
  <c r="F15" i="4"/>
  <c r="D15" i="4"/>
  <c r="B15" i="4"/>
  <c r="H14" i="4"/>
  <c r="F14" i="4"/>
  <c r="D14" i="4"/>
  <c r="B14" i="4"/>
  <c r="H13" i="4"/>
  <c r="F13" i="4"/>
  <c r="D13" i="4"/>
  <c r="B13" i="4"/>
  <c r="H12" i="4"/>
  <c r="F12" i="4"/>
  <c r="D12" i="4"/>
  <c r="B12" i="4"/>
  <c r="H11" i="4"/>
  <c r="F11" i="4"/>
  <c r="D11" i="4"/>
  <c r="B11" i="4"/>
  <c r="H10" i="4"/>
  <c r="F10" i="4"/>
  <c r="D10" i="4"/>
  <c r="B10" i="4"/>
  <c r="H9" i="4"/>
  <c r="F9" i="4"/>
  <c r="D9" i="4"/>
  <c r="B9" i="4"/>
  <c r="H8" i="4"/>
  <c r="F8" i="4"/>
  <c r="D8" i="4"/>
  <c r="B8" i="4"/>
  <c r="H7" i="4"/>
  <c r="F7" i="4"/>
  <c r="D7" i="4"/>
  <c r="B7" i="4"/>
  <c r="H6" i="4"/>
  <c r="F6" i="4"/>
  <c r="D6" i="4"/>
  <c r="B6" i="4"/>
  <c r="H5" i="4"/>
  <c r="F5" i="4"/>
  <c r="D5" i="4"/>
  <c r="B5" i="4"/>
  <c r="H4" i="4"/>
  <c r="F4" i="4"/>
  <c r="D4" i="4"/>
  <c r="B4" i="4"/>
  <c r="H3" i="4"/>
  <c r="F3" i="4"/>
  <c r="D3" i="4"/>
  <c r="B3" i="4"/>
  <c r="H2" i="4"/>
  <c r="F2" i="4"/>
  <c r="D2" i="4"/>
  <c r="B2" i="4"/>
  <c r="H33" i="3" l="1"/>
  <c r="F33" i="3"/>
  <c r="D33" i="3"/>
  <c r="B33" i="3"/>
  <c r="H32" i="3"/>
  <c r="F32" i="3"/>
  <c r="D32" i="3"/>
  <c r="B32" i="3"/>
  <c r="H31" i="3"/>
  <c r="F31" i="3"/>
  <c r="D31" i="3"/>
  <c r="B31" i="3"/>
  <c r="H30" i="3"/>
  <c r="F30" i="3"/>
  <c r="D30" i="3"/>
  <c r="B30" i="3"/>
  <c r="H29" i="3"/>
  <c r="F29" i="3"/>
  <c r="D29" i="3"/>
  <c r="B29" i="3"/>
  <c r="H28" i="3"/>
  <c r="F28" i="3"/>
  <c r="D28" i="3"/>
  <c r="B28" i="3"/>
  <c r="H27" i="3"/>
  <c r="F27" i="3"/>
  <c r="D27" i="3"/>
  <c r="B27" i="3"/>
  <c r="H26" i="3"/>
  <c r="F26" i="3"/>
  <c r="D26" i="3"/>
  <c r="B26" i="3"/>
  <c r="H25" i="3"/>
  <c r="F25" i="3"/>
  <c r="D25" i="3"/>
  <c r="B25" i="3"/>
  <c r="H24" i="3"/>
  <c r="F24" i="3"/>
  <c r="D24" i="3"/>
  <c r="B24" i="3"/>
  <c r="H23" i="3"/>
  <c r="F23" i="3"/>
  <c r="D23" i="3"/>
  <c r="B23" i="3"/>
  <c r="H22" i="3"/>
  <c r="F22" i="3"/>
  <c r="D22" i="3"/>
  <c r="B22" i="3"/>
  <c r="H21" i="3"/>
  <c r="F21" i="3"/>
  <c r="D21" i="3"/>
  <c r="B21" i="3"/>
  <c r="H20" i="3"/>
  <c r="F20" i="3"/>
  <c r="D20" i="3"/>
  <c r="B20" i="3"/>
  <c r="H19" i="3"/>
  <c r="F19" i="3"/>
  <c r="D19" i="3"/>
  <c r="B19" i="3"/>
  <c r="H18" i="3"/>
  <c r="F18" i="3"/>
  <c r="D18" i="3"/>
  <c r="B18" i="3"/>
  <c r="H17" i="3"/>
  <c r="F17" i="3"/>
  <c r="D17" i="3"/>
  <c r="B17" i="3"/>
  <c r="H16" i="3"/>
  <c r="F16" i="3"/>
  <c r="D16" i="3"/>
  <c r="B16" i="3"/>
  <c r="H15" i="3"/>
  <c r="F15" i="3"/>
  <c r="D15" i="3"/>
  <c r="B15" i="3"/>
  <c r="H14" i="3"/>
  <c r="F14" i="3"/>
  <c r="D14" i="3"/>
  <c r="B14" i="3"/>
  <c r="H13" i="3"/>
  <c r="F13" i="3"/>
  <c r="D13" i="3"/>
  <c r="B13" i="3"/>
  <c r="H12" i="3"/>
  <c r="F12" i="3"/>
  <c r="D12" i="3"/>
  <c r="B12" i="3"/>
  <c r="H11" i="3"/>
  <c r="F11" i="3"/>
  <c r="D11" i="3"/>
  <c r="B11" i="3"/>
  <c r="H10" i="3"/>
  <c r="F10" i="3"/>
  <c r="D10" i="3"/>
  <c r="B10" i="3"/>
  <c r="H9" i="3"/>
  <c r="F9" i="3"/>
  <c r="D9" i="3"/>
  <c r="B9" i="3"/>
  <c r="H8" i="3"/>
  <c r="F8" i="3"/>
  <c r="D8" i="3"/>
  <c r="B8" i="3"/>
  <c r="H7" i="3"/>
  <c r="F7" i="3"/>
  <c r="D7" i="3"/>
  <c r="B7" i="3"/>
  <c r="H6" i="3"/>
  <c r="F6" i="3"/>
  <c r="D6" i="3"/>
  <c r="B6" i="3"/>
  <c r="H5" i="3"/>
  <c r="F5" i="3"/>
  <c r="D5" i="3"/>
  <c r="B5" i="3"/>
  <c r="H4" i="3"/>
  <c r="F4" i="3"/>
  <c r="D4" i="3"/>
  <c r="B4" i="3"/>
  <c r="H3" i="3"/>
  <c r="F3" i="3"/>
  <c r="D3" i="3"/>
  <c r="B3" i="3"/>
  <c r="H2" i="3"/>
  <c r="F2" i="3"/>
  <c r="D2" i="3"/>
  <c r="B2" i="3"/>
  <c r="H36" i="2" l="1"/>
  <c r="F36" i="2"/>
  <c r="D36" i="2"/>
  <c r="B36" i="2"/>
  <c r="H35" i="2"/>
  <c r="F35" i="2"/>
  <c r="D35" i="2"/>
  <c r="B35" i="2"/>
  <c r="H34" i="2"/>
  <c r="F34" i="2"/>
  <c r="D34" i="2"/>
  <c r="B34" i="2"/>
  <c r="H33" i="2"/>
  <c r="F33" i="2"/>
  <c r="D33" i="2"/>
  <c r="B33" i="2"/>
  <c r="H32" i="2"/>
  <c r="F32" i="2"/>
  <c r="D32" i="2"/>
  <c r="B32" i="2"/>
  <c r="H31" i="2"/>
  <c r="F31" i="2"/>
  <c r="D31" i="2"/>
  <c r="B31" i="2"/>
  <c r="H30" i="2"/>
  <c r="F30" i="2"/>
  <c r="D30" i="2"/>
  <c r="B30" i="2"/>
  <c r="H29" i="2"/>
  <c r="F29" i="2"/>
  <c r="D29" i="2"/>
  <c r="B29" i="2"/>
  <c r="H28" i="2"/>
  <c r="F28" i="2"/>
  <c r="D28" i="2"/>
  <c r="B28" i="2"/>
  <c r="H27" i="2"/>
  <c r="F27" i="2"/>
  <c r="D27" i="2"/>
  <c r="B27" i="2"/>
  <c r="H26" i="2"/>
  <c r="F26" i="2"/>
  <c r="D26" i="2"/>
  <c r="B26" i="2"/>
  <c r="H25" i="2"/>
  <c r="F25" i="2"/>
  <c r="D25" i="2"/>
  <c r="B25" i="2"/>
  <c r="H24" i="2"/>
  <c r="F24" i="2"/>
  <c r="D24" i="2"/>
  <c r="B24" i="2"/>
  <c r="H23" i="2"/>
  <c r="F23" i="2"/>
  <c r="D23" i="2"/>
  <c r="B23" i="2"/>
  <c r="H22" i="2"/>
  <c r="F22" i="2"/>
  <c r="D22" i="2"/>
  <c r="B22" i="2"/>
  <c r="H21" i="2"/>
  <c r="F21" i="2"/>
  <c r="D21" i="2"/>
  <c r="B21" i="2"/>
  <c r="H20" i="2"/>
  <c r="F20" i="2"/>
  <c r="D20" i="2"/>
  <c r="B20" i="2"/>
  <c r="H19" i="2"/>
  <c r="F19" i="2"/>
  <c r="D19" i="2"/>
  <c r="B19" i="2"/>
  <c r="H18" i="2"/>
  <c r="F18" i="2"/>
  <c r="D18" i="2"/>
  <c r="B18" i="2"/>
  <c r="H17" i="2"/>
  <c r="F17" i="2"/>
  <c r="D17" i="2"/>
  <c r="B17" i="2"/>
  <c r="H16" i="2"/>
  <c r="F16" i="2"/>
  <c r="D16" i="2"/>
  <c r="B16" i="2"/>
  <c r="H15" i="2"/>
  <c r="F15" i="2"/>
  <c r="D15" i="2"/>
  <c r="B15" i="2"/>
  <c r="H14" i="2"/>
  <c r="F14" i="2"/>
  <c r="D14" i="2"/>
  <c r="B14" i="2"/>
  <c r="H13" i="2"/>
  <c r="F13" i="2"/>
  <c r="D13" i="2"/>
  <c r="B13" i="2"/>
  <c r="H12" i="2"/>
  <c r="F12" i="2"/>
  <c r="D12" i="2"/>
  <c r="B12" i="2"/>
  <c r="H11" i="2"/>
  <c r="F11" i="2"/>
  <c r="D11" i="2"/>
  <c r="B11" i="2"/>
  <c r="H10" i="2"/>
  <c r="F10" i="2"/>
  <c r="D10" i="2"/>
  <c r="B10" i="2"/>
  <c r="H9" i="2"/>
  <c r="F9" i="2"/>
  <c r="D9" i="2"/>
  <c r="B9" i="2"/>
  <c r="H8" i="2"/>
  <c r="F8" i="2"/>
  <c r="D8" i="2"/>
  <c r="B8" i="2"/>
  <c r="H7" i="2"/>
  <c r="F7" i="2"/>
  <c r="D7" i="2"/>
  <c r="B7" i="2"/>
  <c r="H6" i="2"/>
  <c r="F6" i="2"/>
  <c r="D6" i="2"/>
  <c r="B6" i="2"/>
  <c r="H5" i="2"/>
  <c r="F5" i="2"/>
  <c r="D5" i="2"/>
  <c r="B5" i="2"/>
  <c r="H4" i="2"/>
  <c r="F4" i="2"/>
  <c r="D4" i="2"/>
  <c r="B4" i="2"/>
  <c r="H3" i="2"/>
  <c r="F3" i="2"/>
  <c r="D3" i="2"/>
  <c r="B3" i="2"/>
  <c r="H2" i="2"/>
  <c r="F2" i="2"/>
  <c r="D2" i="2"/>
  <c r="B2" i="2"/>
  <c r="B2" i="1" l="1"/>
  <c r="D2" i="1"/>
  <c r="F2" i="1"/>
  <c r="H2" i="1"/>
  <c r="B3" i="1"/>
  <c r="D3" i="1"/>
  <c r="F3" i="1"/>
  <c r="H3" i="1"/>
  <c r="B4" i="1"/>
  <c r="D4" i="1"/>
  <c r="F4" i="1"/>
  <c r="H4" i="1"/>
  <c r="B5" i="1"/>
  <c r="D5" i="1"/>
  <c r="F5" i="1"/>
  <c r="H5" i="1"/>
  <c r="B6" i="1"/>
  <c r="D6" i="1"/>
  <c r="F6" i="1"/>
  <c r="H6" i="1"/>
  <c r="B7" i="1"/>
  <c r="D7" i="1"/>
  <c r="F7" i="1"/>
  <c r="H7" i="1"/>
  <c r="B8" i="1"/>
  <c r="D8" i="1"/>
  <c r="F8" i="1"/>
  <c r="H8" i="1"/>
  <c r="B9" i="1"/>
  <c r="D9" i="1"/>
  <c r="F9" i="1"/>
  <c r="H9" i="1"/>
  <c r="B10" i="1"/>
  <c r="D10" i="1"/>
  <c r="F10" i="1"/>
  <c r="H10" i="1"/>
  <c r="B11" i="1"/>
  <c r="D11" i="1"/>
  <c r="F11" i="1"/>
  <c r="H11" i="1"/>
  <c r="B12" i="1"/>
  <c r="D12" i="1"/>
  <c r="F12" i="1"/>
  <c r="H12" i="1"/>
  <c r="B13" i="1"/>
  <c r="D13" i="1"/>
  <c r="F13" i="1"/>
  <c r="H13" i="1"/>
  <c r="B14" i="1"/>
  <c r="D14" i="1"/>
  <c r="F14" i="1"/>
  <c r="H14" i="1"/>
  <c r="B15" i="1"/>
  <c r="D15" i="1"/>
  <c r="F15" i="1"/>
  <c r="H15" i="1"/>
  <c r="B16" i="1"/>
  <c r="D16" i="1"/>
  <c r="F16" i="1"/>
  <c r="H16" i="1"/>
  <c r="B17" i="1"/>
  <c r="D17" i="1"/>
  <c r="F17" i="1"/>
  <c r="H17" i="1"/>
  <c r="B18" i="1"/>
  <c r="D18" i="1"/>
  <c r="F18" i="1"/>
  <c r="H18" i="1"/>
  <c r="B19" i="1"/>
  <c r="D19" i="1"/>
  <c r="F19" i="1"/>
  <c r="H19" i="1"/>
  <c r="B20" i="1"/>
  <c r="D20" i="1"/>
  <c r="F20" i="1"/>
  <c r="H20" i="1"/>
  <c r="B21" i="1"/>
  <c r="D21" i="1"/>
  <c r="F21" i="1"/>
  <c r="H21" i="1"/>
  <c r="B22" i="1"/>
  <c r="D22" i="1"/>
  <c r="F22" i="1"/>
  <c r="H22" i="1"/>
  <c r="B23" i="1"/>
  <c r="D23" i="1"/>
  <c r="F23" i="1"/>
  <c r="H23" i="1"/>
  <c r="B24" i="1"/>
  <c r="D24" i="1"/>
  <c r="F24" i="1"/>
  <c r="H24" i="1"/>
  <c r="B25" i="1"/>
  <c r="D25" i="1"/>
  <c r="F25" i="1"/>
  <c r="H25" i="1"/>
  <c r="B26" i="1"/>
  <c r="D26" i="1"/>
  <c r="F26" i="1"/>
  <c r="H26" i="1"/>
  <c r="B27" i="1"/>
  <c r="D27" i="1"/>
  <c r="F27" i="1"/>
  <c r="H27" i="1"/>
  <c r="B28" i="1"/>
  <c r="D28" i="1"/>
  <c r="F28" i="1"/>
  <c r="H28" i="1"/>
  <c r="B29" i="1"/>
  <c r="D29" i="1"/>
  <c r="F29" i="1"/>
  <c r="H29" i="1"/>
  <c r="B30" i="1"/>
  <c r="D30" i="1"/>
  <c r="F30" i="1"/>
  <c r="H30" i="1"/>
  <c r="B31" i="1"/>
  <c r="D31" i="1"/>
  <c r="F31" i="1"/>
  <c r="H31" i="1"/>
  <c r="B32" i="1"/>
  <c r="D32" i="1"/>
  <c r="F32" i="1"/>
  <c r="H32" i="1"/>
  <c r="B33" i="1"/>
  <c r="D33" i="1"/>
  <c r="F33" i="1"/>
  <c r="H33" i="1"/>
  <c r="B34" i="1"/>
  <c r="D34" i="1"/>
  <c r="F34" i="1"/>
  <c r="H34" i="1"/>
  <c r="B35" i="1"/>
  <c r="D35" i="1"/>
  <c r="F35" i="1"/>
  <c r="H35" i="1"/>
  <c r="B36" i="1"/>
  <c r="D36" i="1"/>
  <c r="F36" i="1"/>
  <c r="H36" i="1"/>
</calcChain>
</file>

<file path=xl/sharedStrings.xml><?xml version="1.0" encoding="utf-8"?>
<sst xmlns="http://schemas.openxmlformats.org/spreadsheetml/2006/main" count="61802" uniqueCount="399">
  <si>
    <t>Data Version</t>
  </si>
  <si>
    <t>NCBI Accession</t>
  </si>
  <si>
    <t>Protein Count</t>
  </si>
  <si>
    <t>Species Tax ID</t>
  </si>
  <si>
    <t>Taxonomic Group</t>
  </si>
  <si>
    <t>Scientific Name</t>
  </si>
  <si>
    <t>Common Name</t>
  </si>
  <si>
    <t>Protein Name</t>
  </si>
  <si>
    <t>Analysis Completed</t>
  </si>
  <si>
    <t>Similar Susceptibility as Template</t>
  </si>
  <si>
    <t>Position 1</t>
  </si>
  <si>
    <t>Amino Acid 1</t>
  </si>
  <si>
    <t>Direct Match 1</t>
  </si>
  <si>
    <t>Side Chain 1</t>
  </si>
  <si>
    <t>Side Chain Match 1</t>
  </si>
  <si>
    <t>MW 1</t>
  </si>
  <si>
    <t>MW Match 1</t>
  </si>
  <si>
    <t>Total Match 1</t>
  </si>
  <si>
    <t>Position 2</t>
  </si>
  <si>
    <t>Amino Acid 2</t>
  </si>
  <si>
    <t>Direct Match 2</t>
  </si>
  <si>
    <t>Side Chain 2</t>
  </si>
  <si>
    <t>Side Chain Match 2</t>
  </si>
  <si>
    <t>MW 2</t>
  </si>
  <si>
    <t>MW Match 2</t>
  </si>
  <si>
    <t>Total Match 2</t>
  </si>
  <si>
    <t>Position 3</t>
  </si>
  <si>
    <t>Amino Acid 3</t>
  </si>
  <si>
    <t>Direct Match 3</t>
  </si>
  <si>
    <t>Side Chain 3</t>
  </si>
  <si>
    <t>Side Chain Match 3</t>
  </si>
  <si>
    <t>MW 3</t>
  </si>
  <si>
    <t>MW Match 3</t>
  </si>
  <si>
    <t>Total Match 3</t>
  </si>
  <si>
    <t>Position 4</t>
  </si>
  <si>
    <t>Amino Acid 4</t>
  </si>
  <si>
    <t>Direct Match 4</t>
  </si>
  <si>
    <t>Side Chain 4</t>
  </si>
  <si>
    <t>Side Chain Match 4</t>
  </si>
  <si>
    <t>MW 4</t>
  </si>
  <si>
    <t>MW Match 4</t>
  </si>
  <si>
    <t>Total Match 4</t>
  </si>
  <si>
    <t>Position 5</t>
  </si>
  <si>
    <t>Amino Acid 5</t>
  </si>
  <si>
    <t>Direct Match 5</t>
  </si>
  <si>
    <t>Side Chain 5</t>
  </si>
  <si>
    <t>Side Chain Match 5</t>
  </si>
  <si>
    <t>MW 5</t>
  </si>
  <si>
    <t>MW Match 5</t>
  </si>
  <si>
    <t>Total Match 5</t>
  </si>
  <si>
    <t>Position 6</t>
  </si>
  <si>
    <t>Amino Acid 6</t>
  </si>
  <si>
    <t>Direct Match 6</t>
  </si>
  <si>
    <t>Side Chain 6</t>
  </si>
  <si>
    <t>Side Chain Match 6</t>
  </si>
  <si>
    <t>MW 6</t>
  </si>
  <si>
    <t>MW Match 6</t>
  </si>
  <si>
    <t>Total Match 6</t>
  </si>
  <si>
    <t>Position 7</t>
  </si>
  <si>
    <t>Amino Acid 7</t>
  </si>
  <si>
    <t>Direct Match 7</t>
  </si>
  <si>
    <t>Side Chain 7</t>
  </si>
  <si>
    <t>Side Chain Match 7</t>
  </si>
  <si>
    <t>MW 7</t>
  </si>
  <si>
    <t>MW Match 7</t>
  </si>
  <si>
    <t>Total Match 7</t>
  </si>
  <si>
    <t>Mammalia</t>
  </si>
  <si>
    <t>Human</t>
  </si>
  <si>
    <t>2023 05 18 10:00:08</t>
  </si>
  <si>
    <t>Y</t>
  </si>
  <si>
    <t>G</t>
  </si>
  <si>
    <t>Aliphatic</t>
  </si>
  <si>
    <t>L</t>
  </si>
  <si>
    <t>A</t>
  </si>
  <si>
    <t>R</t>
  </si>
  <si>
    <t>Basic</t>
  </si>
  <si>
    <t>K</t>
  </si>
  <si>
    <t>Rhesus monkey</t>
  </si>
  <si>
    <t>Green monkey</t>
  </si>
  <si>
    <t>Western lowland gorilla</t>
  </si>
  <si>
    <t>Olive baboon</t>
  </si>
  <si>
    <t>White-tailed deer</t>
  </si>
  <si>
    <t>Cattle</t>
  </si>
  <si>
    <t>Rabbit</t>
  </si>
  <si>
    <t>Dog</t>
  </si>
  <si>
    <t>Pig</t>
  </si>
  <si>
    <t>Domestic cat</t>
  </si>
  <si>
    <t>Golden hamster</t>
  </si>
  <si>
    <t>Prairie deer mouse</t>
  </si>
  <si>
    <t>Tiger</t>
  </si>
  <si>
    <t>Lion</t>
  </si>
  <si>
    <t>Puma</t>
  </si>
  <si>
    <t>Raccoon dog</t>
  </si>
  <si>
    <t>Bobcat</t>
  </si>
  <si>
    <t>Fishing cat</t>
  </si>
  <si>
    <t>Red fox</t>
  </si>
  <si>
    <t>American mink</t>
  </si>
  <si>
    <t>Chinese tree shrew</t>
  </si>
  <si>
    <t>Domestic ferret</t>
  </si>
  <si>
    <t>Eurasian badger</t>
  </si>
  <si>
    <t>Malayan pangolin</t>
  </si>
  <si>
    <t>Gray squirrel</t>
  </si>
  <si>
    <t>Norway rat</t>
  </si>
  <si>
    <t>Egyptian rousette</t>
  </si>
  <si>
    <t>House mouse</t>
  </si>
  <si>
    <t>Canada lynx</t>
  </si>
  <si>
    <t>White-tufted-ear marmoset</t>
  </si>
  <si>
    <t>Aves</t>
  </si>
  <si>
    <t>Rock pigeon</t>
  </si>
  <si>
    <t>Crocodylia</t>
  </si>
  <si>
    <t>Chinese alligator</t>
  </si>
  <si>
    <t>Amphibia</t>
  </si>
  <si>
    <t>African clawed frog</t>
  </si>
  <si>
    <t>Actinopteri</t>
  </si>
  <si>
    <t>Fathead minnow</t>
  </si>
  <si>
    <t>V</t>
  </si>
  <si>
    <t>M</t>
  </si>
  <si>
    <t>Sulfur-Containing</t>
  </si>
  <si>
    <t>2023 05 18 10:58:06</t>
  </si>
  <si>
    <t>E</t>
  </si>
  <si>
    <t>Acidic</t>
  </si>
  <si>
    <t>Position 8</t>
  </si>
  <si>
    <t>Amino Acid 8</t>
  </si>
  <si>
    <t>Direct Match 8</t>
  </si>
  <si>
    <t>Side Chain 8</t>
  </si>
  <si>
    <t>Side Chain Match 8</t>
  </si>
  <si>
    <t>MW 8</t>
  </si>
  <si>
    <t>MW Match 8</t>
  </si>
  <si>
    <t>Total Match 8</t>
  </si>
  <si>
    <t>Position 9</t>
  </si>
  <si>
    <t>Amino Acid 9</t>
  </si>
  <si>
    <t>Direct Match 9</t>
  </si>
  <si>
    <t>Side Chain 9</t>
  </si>
  <si>
    <t>Side Chain Match 9</t>
  </si>
  <si>
    <t>MW 9</t>
  </si>
  <si>
    <t>MW Match 9</t>
  </si>
  <si>
    <t>Total Match 9</t>
  </si>
  <si>
    <t>Position 10</t>
  </si>
  <si>
    <t>Amino Acid 10</t>
  </si>
  <si>
    <t>Direct Match 10</t>
  </si>
  <si>
    <t>Side Chain 10</t>
  </si>
  <si>
    <t>Side Chain Match 10</t>
  </si>
  <si>
    <t>MW 10</t>
  </si>
  <si>
    <t>MW Match 10</t>
  </si>
  <si>
    <t>Total Match 10</t>
  </si>
  <si>
    <t>I</t>
  </si>
  <si>
    <t>P</t>
  </si>
  <si>
    <t>Q</t>
  </si>
  <si>
    <t>Amidic</t>
  </si>
  <si>
    <t>T</t>
  </si>
  <si>
    <t>Hydroxylic</t>
  </si>
  <si>
    <t>F</t>
  </si>
  <si>
    <t>Aromatic</t>
  </si>
  <si>
    <t>N</t>
  </si>
  <si>
    <t>2023 05 18 11:26:37</t>
  </si>
  <si>
    <t>S</t>
  </si>
  <si>
    <t>D</t>
  </si>
  <si>
    <t>H</t>
  </si>
  <si>
    <t>Raccoon</t>
  </si>
  <si>
    <t>-</t>
  </si>
  <si>
    <t>Position 11</t>
  </si>
  <si>
    <t>Amino Acid 11</t>
  </si>
  <si>
    <t>Direct Match 11</t>
  </si>
  <si>
    <t>Side Chain 11</t>
  </si>
  <si>
    <t>Side Chain Match 11</t>
  </si>
  <si>
    <t>MW 11</t>
  </si>
  <si>
    <t>MW Match 11</t>
  </si>
  <si>
    <t>Total Match 11</t>
  </si>
  <si>
    <t>Position 12</t>
  </si>
  <si>
    <t>Amino Acid 12</t>
  </si>
  <si>
    <t>Direct Match 12</t>
  </si>
  <si>
    <t>Side Chain 12</t>
  </si>
  <si>
    <t>Side Chain Match 12</t>
  </si>
  <si>
    <t>MW 12</t>
  </si>
  <si>
    <t>MW Match 12</t>
  </si>
  <si>
    <t>Total Match 12</t>
  </si>
  <si>
    <t>Position 13</t>
  </si>
  <si>
    <t>Amino Acid 13</t>
  </si>
  <si>
    <t>Direct Match 13</t>
  </si>
  <si>
    <t>Side Chain 13</t>
  </si>
  <si>
    <t>Side Chain Match 13</t>
  </si>
  <si>
    <t>MW 13</t>
  </si>
  <si>
    <t>MW Match 13</t>
  </si>
  <si>
    <t>Total Match 13</t>
  </si>
  <si>
    <t>Position 14</t>
  </si>
  <si>
    <t>Amino Acid 14</t>
  </si>
  <si>
    <t>Direct Match 14</t>
  </si>
  <si>
    <t>Side Chain 14</t>
  </si>
  <si>
    <t>Side Chain Match 14</t>
  </si>
  <si>
    <t>MW 14</t>
  </si>
  <si>
    <t>MW Match 14</t>
  </si>
  <si>
    <t>Total Match 14</t>
  </si>
  <si>
    <t>Position 15</t>
  </si>
  <si>
    <t>Amino Acid 15</t>
  </si>
  <si>
    <t>Direct Match 15</t>
  </si>
  <si>
    <t>Side Chain 15</t>
  </si>
  <si>
    <t>Side Chain Match 15</t>
  </si>
  <si>
    <t>MW 15</t>
  </si>
  <si>
    <t>MW Match 15</t>
  </si>
  <si>
    <t>Total Match 15</t>
  </si>
  <si>
    <t>Position 16</t>
  </si>
  <si>
    <t>Amino Acid 16</t>
  </si>
  <si>
    <t>Direct Match 16</t>
  </si>
  <si>
    <t>Side Chain 16</t>
  </si>
  <si>
    <t>Side Chain Match 16</t>
  </si>
  <si>
    <t>MW 16</t>
  </si>
  <si>
    <t>MW Match 16</t>
  </si>
  <si>
    <t>Total Match 16</t>
  </si>
  <si>
    <t>Position 17</t>
  </si>
  <si>
    <t>Amino Acid 17</t>
  </si>
  <si>
    <t>Direct Match 17</t>
  </si>
  <si>
    <t>Side Chain 17</t>
  </si>
  <si>
    <t>Side Chain Match 17</t>
  </si>
  <si>
    <t>MW 17</t>
  </si>
  <si>
    <t>MW Match 17</t>
  </si>
  <si>
    <t>Total Match 17</t>
  </si>
  <si>
    <t>Position 18</t>
  </si>
  <si>
    <t>Amino Acid 18</t>
  </si>
  <si>
    <t>Direct Match 18</t>
  </si>
  <si>
    <t>Side Chain 18</t>
  </si>
  <si>
    <t>Side Chain Match 18</t>
  </si>
  <si>
    <t>MW 18</t>
  </si>
  <si>
    <t>MW Match 18</t>
  </si>
  <si>
    <t>Total Match 18</t>
  </si>
  <si>
    <t>Position 19</t>
  </si>
  <si>
    <t>Amino Acid 19</t>
  </si>
  <si>
    <t>Direct Match 19</t>
  </si>
  <si>
    <t>Side Chain 19</t>
  </si>
  <si>
    <t>Side Chain Match 19</t>
  </si>
  <si>
    <t>MW 19</t>
  </si>
  <si>
    <t>MW Match 19</t>
  </si>
  <si>
    <t>Total Match 19</t>
  </si>
  <si>
    <t>Position 20</t>
  </si>
  <si>
    <t>Amino Acid 20</t>
  </si>
  <si>
    <t>Direct Match 20</t>
  </si>
  <si>
    <t>Side Chain 20</t>
  </si>
  <si>
    <t>Side Chain Match 20</t>
  </si>
  <si>
    <t>MW 20</t>
  </si>
  <si>
    <t>MW Match 20</t>
  </si>
  <si>
    <t>Total Match 20</t>
  </si>
  <si>
    <t>Position 21</t>
  </si>
  <si>
    <t>Amino Acid 21</t>
  </si>
  <si>
    <t>Direct Match 21</t>
  </si>
  <si>
    <t>Side Chain 21</t>
  </si>
  <si>
    <t>Side Chain Match 21</t>
  </si>
  <si>
    <t>MW 21</t>
  </si>
  <si>
    <t>MW Match 21</t>
  </si>
  <si>
    <t>Total Match 21</t>
  </si>
  <si>
    <t>2023 05 31 09:27:07</t>
  </si>
  <si>
    <t>C</t>
  </si>
  <si>
    <t>W</t>
  </si>
  <si>
    <t>2023 06 08 17:36:09</t>
  </si>
  <si>
    <t>Greater horseshoe bat</t>
  </si>
  <si>
    <t>Little brown bat</t>
  </si>
  <si>
    <t>Big-eared Horseshoe Bat</t>
  </si>
  <si>
    <t>Chinese rufous horseshoe bat</t>
  </si>
  <si>
    <t>Common bats</t>
  </si>
  <si>
    <t>Jamaican fruit-eating bat</t>
  </si>
  <si>
    <t>Big brown bat</t>
  </si>
  <si>
    <t>2023 05 17 14:03:30</t>
  </si>
  <si>
    <t>2023 05 22 08:16:01</t>
  </si>
  <si>
    <t>2023 05 17 09:18:42</t>
  </si>
  <si>
    <t>Northern tree shrew</t>
  </si>
  <si>
    <t>2023 05 17 08:24:54</t>
  </si>
  <si>
    <t>Bank vole</t>
  </si>
  <si>
    <t>2023 05 18 08:20:23</t>
  </si>
  <si>
    <t>2023 05 18 08:58:58</t>
  </si>
  <si>
    <t>2023 05 17 13:01:30</t>
  </si>
  <si>
    <t>2023 05 31 08:24:46</t>
  </si>
  <si>
    <t>2023 05 31 07:54:09</t>
  </si>
  <si>
    <t>2023 05 17 10:54:07</t>
  </si>
  <si>
    <t>Position 22</t>
  </si>
  <si>
    <t>Amino Acid 22</t>
  </si>
  <si>
    <t>Direct Match 22</t>
  </si>
  <si>
    <t>Side Chain 22</t>
  </si>
  <si>
    <t>Side Chain Match 22</t>
  </si>
  <si>
    <t>MW 22</t>
  </si>
  <si>
    <t>MW Match 22</t>
  </si>
  <si>
    <t>Total Match 22</t>
  </si>
  <si>
    <t>Position 23</t>
  </si>
  <si>
    <t>Amino Acid 23</t>
  </si>
  <si>
    <t>Direct Match 23</t>
  </si>
  <si>
    <t>Side Chain 23</t>
  </si>
  <si>
    <t>Side Chain Match 23</t>
  </si>
  <si>
    <t>MW 23</t>
  </si>
  <si>
    <t>MW Match 23</t>
  </si>
  <si>
    <t>Total Match 23</t>
  </si>
  <si>
    <t>Position 24</t>
  </si>
  <si>
    <t>Amino Acid 24</t>
  </si>
  <si>
    <t>Direct Match 24</t>
  </si>
  <si>
    <t>Side Chain 24</t>
  </si>
  <si>
    <t>Side Chain Match 24</t>
  </si>
  <si>
    <t>MW 24</t>
  </si>
  <si>
    <t>MW Match 24</t>
  </si>
  <si>
    <t>Total Match 24</t>
  </si>
  <si>
    <t>Position 25</t>
  </si>
  <si>
    <t>Amino Acid 25</t>
  </si>
  <si>
    <t>Direct Match 25</t>
  </si>
  <si>
    <t>Side Chain 25</t>
  </si>
  <si>
    <t>Side Chain Match 25</t>
  </si>
  <si>
    <t>MW 25</t>
  </si>
  <si>
    <t>MW Match 25</t>
  </si>
  <si>
    <t>Total Match 25</t>
  </si>
  <si>
    <t>Position 26</t>
  </si>
  <si>
    <t>Amino Acid 26</t>
  </si>
  <si>
    <t>Direct Match 26</t>
  </si>
  <si>
    <t>Side Chain 26</t>
  </si>
  <si>
    <t>Side Chain Match 26</t>
  </si>
  <si>
    <t>MW 26</t>
  </si>
  <si>
    <t>MW Match 26</t>
  </si>
  <si>
    <t>Total Match 26</t>
  </si>
  <si>
    <t>Position 27</t>
  </si>
  <si>
    <t>Amino Acid 27</t>
  </si>
  <si>
    <t>Direct Match 27</t>
  </si>
  <si>
    <t>Side Chain 27</t>
  </si>
  <si>
    <t>Side Chain Match 27</t>
  </si>
  <si>
    <t>MW 27</t>
  </si>
  <si>
    <t>MW Match 27</t>
  </si>
  <si>
    <t>Total Match 27</t>
  </si>
  <si>
    <t>Position 28</t>
  </si>
  <si>
    <t>Amino Acid 28</t>
  </si>
  <si>
    <t>Direct Match 28</t>
  </si>
  <si>
    <t>Side Chain 28</t>
  </si>
  <si>
    <t>Side Chain Match 28</t>
  </si>
  <si>
    <t>MW 28</t>
  </si>
  <si>
    <t>MW Match 28</t>
  </si>
  <si>
    <t>Total Match 28</t>
  </si>
  <si>
    <t>Position 29</t>
  </si>
  <si>
    <t>Amino Acid 29</t>
  </si>
  <si>
    <t>Direct Match 29</t>
  </si>
  <si>
    <t>Side Chain 29</t>
  </si>
  <si>
    <t>Side Chain Match 29</t>
  </si>
  <si>
    <t>MW 29</t>
  </si>
  <si>
    <t>MW Match 29</t>
  </si>
  <si>
    <t>Total Match 29</t>
  </si>
  <si>
    <t>Position 30</t>
  </si>
  <si>
    <t>Amino Acid 30</t>
  </si>
  <si>
    <t>Direct Match 30</t>
  </si>
  <si>
    <t>Side Chain 30</t>
  </si>
  <si>
    <t>Side Chain Match 30</t>
  </si>
  <si>
    <t>MW 30</t>
  </si>
  <si>
    <t>MW Match 30</t>
  </si>
  <si>
    <t>Total Match 30</t>
  </si>
  <si>
    <t>Position 31</t>
  </si>
  <si>
    <t>Amino Acid 31</t>
  </si>
  <si>
    <t>Direct Match 31</t>
  </si>
  <si>
    <t>Side Chain 31</t>
  </si>
  <si>
    <t>Side Chain Match 31</t>
  </si>
  <si>
    <t>MW 31</t>
  </si>
  <si>
    <t>MW Match 31</t>
  </si>
  <si>
    <t>Total Match 31</t>
  </si>
  <si>
    <t>Position 32</t>
  </si>
  <si>
    <t>Amino Acid 32</t>
  </si>
  <si>
    <t>Direct Match 32</t>
  </si>
  <si>
    <t>Side Chain 32</t>
  </si>
  <si>
    <t>Side Chain Match 32</t>
  </si>
  <si>
    <t>MW 32</t>
  </si>
  <si>
    <t>MW Match 32</t>
  </si>
  <si>
    <t>Total Match 32</t>
  </si>
  <si>
    <t>Position 33</t>
  </si>
  <si>
    <t>Amino Acid 33</t>
  </si>
  <si>
    <t>Direct Match 33</t>
  </si>
  <si>
    <t>Side Chain 33</t>
  </si>
  <si>
    <t>Side Chain Match 33</t>
  </si>
  <si>
    <t>MW 33</t>
  </si>
  <si>
    <t>MW Match 33</t>
  </si>
  <si>
    <t>Total Match 33</t>
  </si>
  <si>
    <t>Cross-species sequence variability in host interferon antiviral pathway proteins and SARS-CoV-2 susceptibility.</t>
  </si>
  <si>
    <t>Column definitions</t>
  </si>
  <si>
    <t>(See SeqAPASS User Guide https://www.epa.gov/comptox-tools/seqapass-user-guide for more details)</t>
  </si>
  <si>
    <t>SeqAPASS data version</t>
  </si>
  <si>
    <t>National Center for Biotechnology Information database protein identification number</t>
  </si>
  <si>
    <t>The number of protein records per species in the NCBI protein database</t>
  </si>
  <si>
    <t>Unique numeric identifier assigned by the NCBI to each species</t>
  </si>
  <si>
    <t>Filtered at Class level (e.g., Mammalia)</t>
  </si>
  <si>
    <t>Genus and species name of organism</t>
  </si>
  <si>
    <t>Common name of organism</t>
  </si>
  <si>
    <t>Name of the protein queried</t>
  </si>
  <si>
    <t>Date and time the analysis was completed</t>
  </si>
  <si>
    <t xml:space="preserve">For toxicological susceptibiliy prediction; not used in this study </t>
  </si>
  <si>
    <t>Single letter abbreviation of the amino acid in the indicated position</t>
  </si>
  <si>
    <t>"Y" for yes if the amino acid in the hit protein is the same as in the query protein at that position; "N" if the amino acid is not the same</t>
  </si>
  <si>
    <t>Position X</t>
  </si>
  <si>
    <t>Position of the amino acid of interest selected by the user in the query (template) protein, numbered according to the position in the query species protein; the following are repeated for each amino acid position selected</t>
  </si>
  <si>
    <t>Amino Acid X</t>
  </si>
  <si>
    <t>Direct Match X</t>
  </si>
  <si>
    <t>Side Chain X</t>
  </si>
  <si>
    <t>Side Chain Match X</t>
  </si>
  <si>
    <t>MW X</t>
  </si>
  <si>
    <t>MW Match X</t>
  </si>
  <si>
    <t>Total Match X</t>
  </si>
  <si>
    <t>Indicates whether the hit side chain has the same classification as the template amino acid, providing a “Y” or “N” for yes or no, respectively</t>
  </si>
  <si>
    <t>Side chain classification for the amino acid residue</t>
  </si>
  <si>
    <t>Molecular weight (grams/mole [g/mol]) of the amino acid in the indicated position</t>
  </si>
  <si>
    <t>Supplementary File 3. SeqAPASS Level 3 curated full reports.</t>
  </si>
  <si>
    <t>Indicates whether the hit molecular weight has a difference in molecular weight greater than or equal to 30 g/mol compared to the template amino acid, providing a “Y” for yes and “N” for no</t>
  </si>
  <si>
    <t>Describes whether the amino acid residue matches the template based on side-chain classification and molecular weight, “Y” for yes or “N” for not a match to the template</t>
  </si>
  <si>
    <t>For the “Total Match X” to be “Y,” both “Side Chain Match X” and “MW Match X” should be either “Y” and Y” or one “Y” and one “N”. Only if both “Side Chain Match X” and “MW Match X” are “N” and “N,” then the “Total Match X” is “N” for no.</t>
  </si>
  <si>
    <t>See Supplementary File 4 for curation documentation.</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</si>
</sst>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
    <xf numFmtId="0" fontId="0" fillId="0" borderId="0" xfId="0"/>
    <xf numFmtId="0" fontId="0" fillId="33" borderId="0" xfId="0" applyFill="1"/>
    <xf numFmtId="0" fontId="18"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abSelected="1" workbookViewId="0">
      <selection activeCell="A2" sqref="A2"/>
    </sheetView>
  </sheetViews>
  <sheetFormatPr defaultRowHeight="15" x14ac:dyDescent="0.25"/>
  <cols>
    <col min="1" max="1" width="33.140625" customWidth="1"/>
  </cols>
  <sheetData>
    <row r="1" spans="1:2" ht="18.75" x14ac:dyDescent="0.3">
      <c r="A1" s="2" t="s">
        <v>367</v>
      </c>
    </row>
    <row r="2" spans="1:2" x14ac:dyDescent="0.25">
      <c r="A2" t="s">
        <v>394</v>
      </c>
    </row>
    <row r="3" spans="1:2" x14ac:dyDescent="0.25">
      <c r="A3" t="s">
        <v>398</v>
      </c>
    </row>
    <row r="5" spans="1:2" x14ac:dyDescent="0.25">
      <c r="A5" t="s">
        <v>368</v>
      </c>
      <c r="B5" t="s">
        <v>369</v>
      </c>
    </row>
    <row r="6" spans="1:2" x14ac:dyDescent="0.25">
      <c r="A6" t="s">
        <v>0</v>
      </c>
      <c r="B6" t="s">
        <v>370</v>
      </c>
    </row>
    <row r="7" spans="1:2" x14ac:dyDescent="0.25">
      <c r="A7" t="s">
        <v>1</v>
      </c>
      <c r="B7" t="s">
        <v>371</v>
      </c>
    </row>
    <row r="8" spans="1:2" x14ac:dyDescent="0.25">
      <c r="A8" t="s">
        <v>2</v>
      </c>
      <c r="B8" t="s">
        <v>372</v>
      </c>
    </row>
    <row r="9" spans="1:2" x14ac:dyDescent="0.25">
      <c r="A9" t="s">
        <v>3</v>
      </c>
      <c r="B9" t="s">
        <v>373</v>
      </c>
    </row>
    <row r="10" spans="1:2" x14ac:dyDescent="0.25">
      <c r="A10" t="s">
        <v>4</v>
      </c>
      <c r="B10" t="s">
        <v>374</v>
      </c>
    </row>
    <row r="11" spans="1:2" x14ac:dyDescent="0.25">
      <c r="A11" t="s">
        <v>5</v>
      </c>
      <c r="B11" t="s">
        <v>375</v>
      </c>
    </row>
    <row r="12" spans="1:2" x14ac:dyDescent="0.25">
      <c r="A12" t="s">
        <v>6</v>
      </c>
      <c r="B12" t="s">
        <v>376</v>
      </c>
    </row>
    <row r="13" spans="1:2" x14ac:dyDescent="0.25">
      <c r="A13" t="s">
        <v>7</v>
      </c>
      <c r="B13" t="s">
        <v>377</v>
      </c>
    </row>
    <row r="14" spans="1:2" x14ac:dyDescent="0.25">
      <c r="A14" t="s">
        <v>8</v>
      </c>
      <c r="B14" t="s">
        <v>378</v>
      </c>
    </row>
    <row r="15" spans="1:2" x14ac:dyDescent="0.25">
      <c r="A15" t="s">
        <v>9</v>
      </c>
      <c r="B15" t="s">
        <v>379</v>
      </c>
    </row>
    <row r="16" spans="1:2" x14ac:dyDescent="0.25">
      <c r="A16" t="s">
        <v>382</v>
      </c>
      <c r="B16" t="s">
        <v>383</v>
      </c>
    </row>
    <row r="17" spans="1:2" x14ac:dyDescent="0.25">
      <c r="A17" t="s">
        <v>384</v>
      </c>
      <c r="B17" t="s">
        <v>380</v>
      </c>
    </row>
    <row r="18" spans="1:2" x14ac:dyDescent="0.25">
      <c r="A18" t="s">
        <v>385</v>
      </c>
      <c r="B18" t="s">
        <v>381</v>
      </c>
    </row>
    <row r="19" spans="1:2" x14ac:dyDescent="0.25">
      <c r="A19" t="s">
        <v>386</v>
      </c>
      <c r="B19" t="s">
        <v>392</v>
      </c>
    </row>
    <row r="20" spans="1:2" x14ac:dyDescent="0.25">
      <c r="A20" t="s">
        <v>387</v>
      </c>
      <c r="B20" t="s">
        <v>391</v>
      </c>
    </row>
    <row r="21" spans="1:2" x14ac:dyDescent="0.25">
      <c r="A21" t="s">
        <v>388</v>
      </c>
      <c r="B21" t="s">
        <v>393</v>
      </c>
    </row>
    <row r="22" spans="1:2" x14ac:dyDescent="0.25">
      <c r="A22" t="s">
        <v>389</v>
      </c>
      <c r="B22" t="s">
        <v>395</v>
      </c>
    </row>
    <row r="23" spans="1:2" x14ac:dyDescent="0.25">
      <c r="A23" t="s">
        <v>390</v>
      </c>
      <c r="B23" t="s">
        <v>396</v>
      </c>
    </row>
    <row r="24" spans="1:2" x14ac:dyDescent="0.25">
      <c r="B24" t="s">
        <v>397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V10"/>
  <sheetViews>
    <sheetView workbookViewId="0"/>
  </sheetViews>
  <sheetFormatPr defaultRowHeight="15" x14ac:dyDescent="0.25"/>
  <sheetData>
    <row r="1" spans="1:17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c r="DK1" t="s">
        <v>184</v>
      </c>
      <c r="DL1" t="s">
        <v>185</v>
      </c>
      <c r="DM1" t="s">
        <v>186</v>
      </c>
      <c r="DN1" t="s">
        <v>187</v>
      </c>
      <c r="DO1" t="s">
        <v>188</v>
      </c>
      <c r="DP1" t="s">
        <v>189</v>
      </c>
      <c r="DQ1" t="s">
        <v>190</v>
      </c>
      <c r="DR1" t="s">
        <v>191</v>
      </c>
      <c r="DS1" t="s">
        <v>192</v>
      </c>
      <c r="DT1" t="s">
        <v>193</v>
      </c>
      <c r="DU1" t="s">
        <v>194</v>
      </c>
      <c r="DV1" t="s">
        <v>195</v>
      </c>
      <c r="DW1" t="s">
        <v>196</v>
      </c>
      <c r="DX1" t="s">
        <v>197</v>
      </c>
      <c r="DY1" t="s">
        <v>198</v>
      </c>
      <c r="DZ1" t="s">
        <v>199</v>
      </c>
      <c r="EA1" t="s">
        <v>200</v>
      </c>
      <c r="EB1" t="s">
        <v>201</v>
      </c>
      <c r="EC1" t="s">
        <v>202</v>
      </c>
      <c r="ED1" t="s">
        <v>203</v>
      </c>
      <c r="EE1" t="s">
        <v>204</v>
      </c>
      <c r="EF1" t="s">
        <v>205</v>
      </c>
      <c r="EG1" t="s">
        <v>206</v>
      </c>
      <c r="EH1" t="s">
        <v>207</v>
      </c>
      <c r="EI1" t="s">
        <v>208</v>
      </c>
      <c r="EJ1" t="s">
        <v>209</v>
      </c>
      <c r="EK1" t="s">
        <v>210</v>
      </c>
      <c r="EL1" t="s">
        <v>211</v>
      </c>
      <c r="EM1" t="s">
        <v>212</v>
      </c>
      <c r="EN1" t="s">
        <v>213</v>
      </c>
      <c r="EO1" t="s">
        <v>214</v>
      </c>
      <c r="EP1" t="s">
        <v>215</v>
      </c>
      <c r="EQ1" t="s">
        <v>216</v>
      </c>
      <c r="ER1" t="s">
        <v>217</v>
      </c>
      <c r="ES1" t="s">
        <v>218</v>
      </c>
      <c r="ET1" t="s">
        <v>219</v>
      </c>
      <c r="EU1" t="s">
        <v>220</v>
      </c>
      <c r="EV1" t="s">
        <v>221</v>
      </c>
      <c r="EW1" t="s">
        <v>222</v>
      </c>
      <c r="EX1" t="s">
        <v>223</v>
      </c>
      <c r="EY1" t="s">
        <v>224</v>
      </c>
      <c r="EZ1" t="s">
        <v>225</v>
      </c>
      <c r="FA1" t="s">
        <v>226</v>
      </c>
      <c r="FB1" t="s">
        <v>227</v>
      </c>
      <c r="FC1" t="s">
        <v>228</v>
      </c>
      <c r="FD1" t="s">
        <v>229</v>
      </c>
      <c r="FE1" t="s">
        <v>230</v>
      </c>
      <c r="FF1" t="s">
        <v>231</v>
      </c>
      <c r="FG1" t="s">
        <v>232</v>
      </c>
      <c r="FH1" t="s">
        <v>233</v>
      </c>
      <c r="FI1" t="s">
        <v>234</v>
      </c>
      <c r="FJ1" t="s">
        <v>235</v>
      </c>
      <c r="FK1" t="s">
        <v>236</v>
      </c>
      <c r="FL1" t="s">
        <v>237</v>
      </c>
      <c r="FM1" t="s">
        <v>238</v>
      </c>
      <c r="FN1" t="s">
        <v>239</v>
      </c>
      <c r="FO1" t="s">
        <v>240</v>
      </c>
      <c r="FP1" t="s">
        <v>241</v>
      </c>
      <c r="FQ1" t="s">
        <v>242</v>
      </c>
      <c r="FR1" t="s">
        <v>243</v>
      </c>
      <c r="FS1" t="s">
        <v>244</v>
      </c>
      <c r="FT1" t="s">
        <v>245</v>
      </c>
      <c r="FU1" t="s">
        <v>246</v>
      </c>
      <c r="FV1" t="s">
        <v>247</v>
      </c>
    </row>
    <row r="2" spans="1:178" x14ac:dyDescent="0.25">
      <c r="A2">
        <v>7</v>
      </c>
      <c r="B2" t="str">
        <f>HYPERLINK("http://www.ncbi.nlm.nih.gov/protein/NP_004326.1","NP_004326.1")</f>
        <v>NP_004326.1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HYPERLINK("http://www.ncbi.nlm.nih.gov/protein/NP_004326.1","bone marrow stromal antigen 2 precursor")</f>
        <v>bone marrow stromal antigen 2 precursor</v>
      </c>
      <c r="I2" t="s">
        <v>251</v>
      </c>
      <c r="J2" t="s">
        <v>69</v>
      </c>
      <c r="K2">
        <v>48</v>
      </c>
      <c r="L2" t="s">
        <v>73</v>
      </c>
      <c r="M2" t="s">
        <v>69</v>
      </c>
      <c r="N2" t="s">
        <v>71</v>
      </c>
      <c r="O2" t="s">
        <v>69</v>
      </c>
      <c r="P2">
        <v>89.093999999999994</v>
      </c>
      <c r="Q2" t="s">
        <v>69</v>
      </c>
      <c r="R2" t="s">
        <v>69</v>
      </c>
      <c r="S2">
        <v>49</v>
      </c>
      <c r="T2" t="s">
        <v>153</v>
      </c>
      <c r="U2" t="s">
        <v>69</v>
      </c>
      <c r="V2" t="s">
        <v>148</v>
      </c>
      <c r="W2" t="s">
        <v>69</v>
      </c>
      <c r="X2">
        <v>132.119</v>
      </c>
      <c r="Y2" t="s">
        <v>69</v>
      </c>
      <c r="Z2" t="s">
        <v>69</v>
      </c>
      <c r="AA2">
        <v>50</v>
      </c>
      <c r="AB2" t="s">
        <v>155</v>
      </c>
      <c r="AC2" t="s">
        <v>69</v>
      </c>
      <c r="AD2" t="s">
        <v>150</v>
      </c>
      <c r="AE2" t="s">
        <v>69</v>
      </c>
      <c r="AF2">
        <v>105.093</v>
      </c>
      <c r="AG2" t="s">
        <v>69</v>
      </c>
      <c r="AH2" t="s">
        <v>69</v>
      </c>
      <c r="AI2">
        <v>51</v>
      </c>
      <c r="AJ2" t="s">
        <v>119</v>
      </c>
      <c r="AK2" t="s">
        <v>69</v>
      </c>
      <c r="AL2" t="s">
        <v>120</v>
      </c>
      <c r="AM2" t="s">
        <v>69</v>
      </c>
      <c r="AN2">
        <v>147.131</v>
      </c>
      <c r="AO2" t="s">
        <v>69</v>
      </c>
      <c r="AP2" t="s">
        <v>69</v>
      </c>
      <c r="AQ2">
        <v>52</v>
      </c>
      <c r="AR2" t="s">
        <v>73</v>
      </c>
      <c r="AS2" t="s">
        <v>69</v>
      </c>
      <c r="AT2" t="s">
        <v>71</v>
      </c>
      <c r="AU2" t="s">
        <v>69</v>
      </c>
      <c r="AV2">
        <v>89.093999999999994</v>
      </c>
      <c r="AW2" t="s">
        <v>69</v>
      </c>
      <c r="AX2" t="s">
        <v>69</v>
      </c>
      <c r="AY2">
        <v>53</v>
      </c>
      <c r="AZ2" t="s">
        <v>249</v>
      </c>
      <c r="BA2" t="s">
        <v>69</v>
      </c>
      <c r="BB2" t="s">
        <v>117</v>
      </c>
      <c r="BC2" t="s">
        <v>69</v>
      </c>
      <c r="BD2">
        <v>121.154</v>
      </c>
      <c r="BE2" t="s">
        <v>69</v>
      </c>
      <c r="BF2" t="s">
        <v>69</v>
      </c>
      <c r="BG2">
        <v>84</v>
      </c>
      <c r="BH2" t="s">
        <v>115</v>
      </c>
      <c r="BI2" t="s">
        <v>69</v>
      </c>
      <c r="BJ2" t="s">
        <v>71</v>
      </c>
      <c r="BK2" t="s">
        <v>69</v>
      </c>
      <c r="BL2">
        <v>117.148</v>
      </c>
      <c r="BM2" t="s">
        <v>69</v>
      </c>
      <c r="BN2" t="s">
        <v>69</v>
      </c>
      <c r="BO2">
        <v>85</v>
      </c>
      <c r="BP2" t="s">
        <v>119</v>
      </c>
      <c r="BQ2" t="s">
        <v>69</v>
      </c>
      <c r="BR2" t="s">
        <v>120</v>
      </c>
      <c r="BS2" t="s">
        <v>69</v>
      </c>
      <c r="BT2">
        <v>147.131</v>
      </c>
      <c r="BU2" t="s">
        <v>69</v>
      </c>
      <c r="BV2" t="s">
        <v>69</v>
      </c>
      <c r="BW2">
        <v>87</v>
      </c>
      <c r="BX2" t="s">
        <v>147</v>
      </c>
      <c r="BY2" t="s">
        <v>69</v>
      </c>
      <c r="BZ2" t="s">
        <v>148</v>
      </c>
      <c r="CA2" t="s">
        <v>69</v>
      </c>
      <c r="CB2">
        <v>146.14599999999999</v>
      </c>
      <c r="CC2" t="s">
        <v>69</v>
      </c>
      <c r="CD2" t="s">
        <v>69</v>
      </c>
      <c r="CE2">
        <v>88</v>
      </c>
      <c r="CF2" t="s">
        <v>73</v>
      </c>
      <c r="CG2" t="s">
        <v>69</v>
      </c>
      <c r="CH2" t="s">
        <v>71</v>
      </c>
      <c r="CI2" t="s">
        <v>69</v>
      </c>
      <c r="CJ2">
        <v>89.093999999999994</v>
      </c>
      <c r="CK2" t="s">
        <v>69</v>
      </c>
      <c r="CL2" t="s">
        <v>69</v>
      </c>
      <c r="CM2">
        <v>89</v>
      </c>
      <c r="CN2" t="s">
        <v>73</v>
      </c>
      <c r="CO2" t="s">
        <v>69</v>
      </c>
      <c r="CP2" t="s">
        <v>71</v>
      </c>
      <c r="CQ2" t="s">
        <v>69</v>
      </c>
      <c r="CR2">
        <v>89.093999999999994</v>
      </c>
      <c r="CS2" t="s">
        <v>69</v>
      </c>
      <c r="CT2" t="s">
        <v>69</v>
      </c>
      <c r="CU2">
        <v>91</v>
      </c>
      <c r="CV2" t="s">
        <v>249</v>
      </c>
      <c r="CW2" t="s">
        <v>69</v>
      </c>
      <c r="CX2" t="s">
        <v>117</v>
      </c>
      <c r="CY2" t="s">
        <v>69</v>
      </c>
      <c r="CZ2">
        <v>121.154</v>
      </c>
      <c r="DA2" t="s">
        <v>69</v>
      </c>
      <c r="DB2" t="s">
        <v>69</v>
      </c>
      <c r="DC2">
        <v>92</v>
      </c>
      <c r="DD2" t="s">
        <v>153</v>
      </c>
      <c r="DE2" t="s">
        <v>69</v>
      </c>
      <c r="DF2" t="s">
        <v>148</v>
      </c>
      <c r="DG2" t="s">
        <v>69</v>
      </c>
      <c r="DH2">
        <v>132.119</v>
      </c>
      <c r="DI2" t="s">
        <v>69</v>
      </c>
      <c r="DJ2" t="s">
        <v>69</v>
      </c>
      <c r="DK2">
        <v>105</v>
      </c>
      <c r="DL2" t="s">
        <v>119</v>
      </c>
      <c r="DM2" t="s">
        <v>69</v>
      </c>
      <c r="DN2" t="s">
        <v>120</v>
      </c>
      <c r="DO2" t="s">
        <v>69</v>
      </c>
      <c r="DP2">
        <v>147.131</v>
      </c>
      <c r="DQ2" t="s">
        <v>69</v>
      </c>
      <c r="DR2" t="s">
        <v>69</v>
      </c>
      <c r="DS2">
        <v>106</v>
      </c>
      <c r="DT2" t="s">
        <v>76</v>
      </c>
      <c r="DU2" t="s">
        <v>69</v>
      </c>
      <c r="DV2" t="s">
        <v>75</v>
      </c>
      <c r="DW2" t="s">
        <v>69</v>
      </c>
      <c r="DX2">
        <v>146.18899999999999</v>
      </c>
      <c r="DY2" t="s">
        <v>69</v>
      </c>
      <c r="DZ2" t="s">
        <v>69</v>
      </c>
      <c r="EA2">
        <v>108</v>
      </c>
      <c r="EB2" t="s">
        <v>147</v>
      </c>
      <c r="EC2" t="s">
        <v>69</v>
      </c>
      <c r="ED2" t="s">
        <v>148</v>
      </c>
      <c r="EE2" t="s">
        <v>69</v>
      </c>
      <c r="EF2">
        <v>146.14599999999999</v>
      </c>
      <c r="EG2" t="s">
        <v>69</v>
      </c>
      <c r="EH2" t="s">
        <v>69</v>
      </c>
      <c r="EI2">
        <v>109</v>
      </c>
      <c r="EJ2" t="s">
        <v>70</v>
      </c>
      <c r="EK2" t="s">
        <v>69</v>
      </c>
      <c r="EL2" t="s">
        <v>71</v>
      </c>
      <c r="EM2" t="s">
        <v>69</v>
      </c>
      <c r="EN2">
        <v>75.066999999999993</v>
      </c>
      <c r="EO2" t="s">
        <v>69</v>
      </c>
      <c r="EP2" t="s">
        <v>69</v>
      </c>
      <c r="EQ2">
        <v>110</v>
      </c>
      <c r="ER2" t="s">
        <v>147</v>
      </c>
      <c r="ES2" t="s">
        <v>69</v>
      </c>
      <c r="ET2" t="s">
        <v>148</v>
      </c>
      <c r="EU2" t="s">
        <v>69</v>
      </c>
      <c r="EV2">
        <v>146.14599999999999</v>
      </c>
      <c r="EW2" t="s">
        <v>69</v>
      </c>
      <c r="EX2" t="s">
        <v>69</v>
      </c>
      <c r="EY2">
        <v>112</v>
      </c>
      <c r="EZ2" t="s">
        <v>76</v>
      </c>
      <c r="FA2" t="s">
        <v>69</v>
      </c>
      <c r="FB2" t="s">
        <v>75</v>
      </c>
      <c r="FC2" t="s">
        <v>69</v>
      </c>
      <c r="FD2">
        <v>146.18899999999999</v>
      </c>
      <c r="FE2" t="s">
        <v>69</v>
      </c>
      <c r="FF2" t="s">
        <v>69</v>
      </c>
      <c r="FG2">
        <v>113</v>
      </c>
      <c r="FH2" t="s">
        <v>115</v>
      </c>
      <c r="FI2" t="s">
        <v>69</v>
      </c>
      <c r="FJ2" t="s">
        <v>71</v>
      </c>
      <c r="FK2" t="s">
        <v>69</v>
      </c>
      <c r="FL2">
        <v>117.148</v>
      </c>
      <c r="FM2" t="s">
        <v>69</v>
      </c>
      <c r="FN2" t="s">
        <v>69</v>
      </c>
      <c r="FO2">
        <v>117</v>
      </c>
      <c r="FP2" t="s">
        <v>119</v>
      </c>
      <c r="FQ2" t="s">
        <v>69</v>
      </c>
      <c r="FR2" t="s">
        <v>120</v>
      </c>
      <c r="FS2" t="s">
        <v>69</v>
      </c>
      <c r="FT2">
        <v>147.131</v>
      </c>
      <c r="FU2" t="s">
        <v>69</v>
      </c>
      <c r="FV2" t="s">
        <v>69</v>
      </c>
    </row>
    <row r="3" spans="1:178" x14ac:dyDescent="0.25">
      <c r="A3">
        <v>7</v>
      </c>
      <c r="B3" t="str">
        <f>HYPERLINK("http://www.ncbi.nlm.nih.gov/protein/XP_032989378.1","XP_032989378.1")</f>
        <v>XP_032989378.1</v>
      </c>
      <c r="C3">
        <v>90522</v>
      </c>
      <c r="D3" t="str">
        <f>HYPERLINK("http://www.ncbi.nlm.nih.gov/Taxonomy/Browser/wwwtax.cgi?mode=Info&amp;id=59479&amp;lvl=3&amp;lin=f&amp;keep=1&amp;srchmode=1&amp;unlock","59479")</f>
        <v>59479</v>
      </c>
      <c r="E3" t="s">
        <v>66</v>
      </c>
      <c r="F3" t="str">
        <f>HYPERLINK("http://www.ncbi.nlm.nih.gov/Taxonomy/Browser/wwwtax.cgi?mode=Info&amp;id=59479&amp;lvl=3&amp;lin=f&amp;keep=1&amp;srchmode=1&amp;unlock","Rhinolophus ferrumequinum")</f>
        <v>Rhinolophus ferrumequinum</v>
      </c>
      <c r="G3" t="s">
        <v>252</v>
      </c>
      <c r="H3" t="str">
        <f>HYPERLINK("http://www.ncbi.nlm.nih.gov/protein/XP_032989378.1","bone marrow stromal antigen 2")</f>
        <v>bone marrow stromal antigen 2</v>
      </c>
      <c r="I3" t="s">
        <v>251</v>
      </c>
      <c r="J3" t="s">
        <v>153</v>
      </c>
      <c r="K3">
        <v>52</v>
      </c>
      <c r="L3" t="s">
        <v>73</v>
      </c>
      <c r="M3" t="s">
        <v>69</v>
      </c>
      <c r="N3" t="s">
        <v>71</v>
      </c>
      <c r="O3" t="s">
        <v>69</v>
      </c>
      <c r="P3">
        <v>89.093999999999994</v>
      </c>
      <c r="Q3" t="s">
        <v>69</v>
      </c>
      <c r="R3" t="s">
        <v>69</v>
      </c>
      <c r="S3">
        <v>53</v>
      </c>
      <c r="T3" t="s">
        <v>153</v>
      </c>
      <c r="U3" t="s">
        <v>69</v>
      </c>
      <c r="V3" t="s">
        <v>148</v>
      </c>
      <c r="W3" t="s">
        <v>69</v>
      </c>
      <c r="X3">
        <v>132.119</v>
      </c>
      <c r="Y3" t="s">
        <v>69</v>
      </c>
      <c r="Z3" t="s">
        <v>69</v>
      </c>
      <c r="AA3">
        <v>54</v>
      </c>
      <c r="AB3" t="s">
        <v>74</v>
      </c>
      <c r="AC3" t="s">
        <v>153</v>
      </c>
      <c r="AD3" t="s">
        <v>75</v>
      </c>
      <c r="AE3" t="s">
        <v>153</v>
      </c>
      <c r="AF3">
        <v>174.203</v>
      </c>
      <c r="AG3" t="s">
        <v>153</v>
      </c>
      <c r="AH3" t="s">
        <v>153</v>
      </c>
      <c r="AI3">
        <v>55</v>
      </c>
      <c r="AJ3" t="s">
        <v>119</v>
      </c>
      <c r="AK3" t="s">
        <v>69</v>
      </c>
      <c r="AL3" t="s">
        <v>120</v>
      </c>
      <c r="AM3" t="s">
        <v>69</v>
      </c>
      <c r="AN3">
        <v>147.131</v>
      </c>
      <c r="AO3" t="s">
        <v>69</v>
      </c>
      <c r="AP3" t="s">
        <v>69</v>
      </c>
      <c r="AQ3">
        <v>56</v>
      </c>
      <c r="AR3" t="s">
        <v>155</v>
      </c>
      <c r="AS3" t="s">
        <v>153</v>
      </c>
      <c r="AT3" t="s">
        <v>150</v>
      </c>
      <c r="AU3" t="s">
        <v>153</v>
      </c>
      <c r="AV3">
        <v>105.093</v>
      </c>
      <c r="AW3" t="s">
        <v>69</v>
      </c>
      <c r="AX3" t="s">
        <v>69</v>
      </c>
      <c r="AY3">
        <v>57</v>
      </c>
      <c r="AZ3" t="s">
        <v>249</v>
      </c>
      <c r="BA3" t="s">
        <v>69</v>
      </c>
      <c r="BB3" t="s">
        <v>117</v>
      </c>
      <c r="BC3" t="s">
        <v>69</v>
      </c>
      <c r="BD3">
        <v>121.154</v>
      </c>
      <c r="BE3" t="s">
        <v>69</v>
      </c>
      <c r="BF3" t="s">
        <v>69</v>
      </c>
      <c r="BG3">
        <v>88</v>
      </c>
      <c r="BH3" t="s">
        <v>116</v>
      </c>
      <c r="BI3" t="s">
        <v>153</v>
      </c>
      <c r="BJ3" t="s">
        <v>117</v>
      </c>
      <c r="BK3" t="s">
        <v>153</v>
      </c>
      <c r="BL3">
        <v>149.208</v>
      </c>
      <c r="BM3" t="s">
        <v>153</v>
      </c>
      <c r="BN3" t="s">
        <v>153</v>
      </c>
      <c r="BO3">
        <v>89</v>
      </c>
      <c r="BP3" t="s">
        <v>76</v>
      </c>
      <c r="BQ3" t="s">
        <v>153</v>
      </c>
      <c r="BR3" t="s">
        <v>75</v>
      </c>
      <c r="BS3" t="s">
        <v>153</v>
      </c>
      <c r="BT3">
        <v>146.18899999999999</v>
      </c>
      <c r="BU3" t="s">
        <v>69</v>
      </c>
      <c r="BV3" t="s">
        <v>69</v>
      </c>
      <c r="BW3">
        <v>91</v>
      </c>
      <c r="BX3" t="s">
        <v>147</v>
      </c>
      <c r="BY3" t="s">
        <v>69</v>
      </c>
      <c r="BZ3" t="s">
        <v>148</v>
      </c>
      <c r="CA3" t="s">
        <v>69</v>
      </c>
      <c r="CB3">
        <v>146.14599999999999</v>
      </c>
      <c r="CC3" t="s">
        <v>69</v>
      </c>
      <c r="CD3" t="s">
        <v>69</v>
      </c>
      <c r="CE3">
        <v>92</v>
      </c>
      <c r="CF3" t="s">
        <v>149</v>
      </c>
      <c r="CG3" t="s">
        <v>153</v>
      </c>
      <c r="CH3" t="s">
        <v>150</v>
      </c>
      <c r="CI3" t="s">
        <v>153</v>
      </c>
      <c r="CJ3">
        <v>119.119</v>
      </c>
      <c r="CK3" t="s">
        <v>153</v>
      </c>
      <c r="CL3" t="s">
        <v>153</v>
      </c>
      <c r="CM3">
        <v>93</v>
      </c>
      <c r="CN3" t="s">
        <v>73</v>
      </c>
      <c r="CO3" t="s">
        <v>69</v>
      </c>
      <c r="CP3" t="s">
        <v>71</v>
      </c>
      <c r="CQ3" t="s">
        <v>69</v>
      </c>
      <c r="CR3">
        <v>89.093999999999994</v>
      </c>
      <c r="CS3" t="s">
        <v>69</v>
      </c>
      <c r="CT3" t="s">
        <v>69</v>
      </c>
      <c r="CU3">
        <v>95</v>
      </c>
      <c r="CV3" t="s">
        <v>249</v>
      </c>
      <c r="CW3" t="s">
        <v>69</v>
      </c>
      <c r="CX3" t="s">
        <v>117</v>
      </c>
      <c r="CY3" t="s">
        <v>69</v>
      </c>
      <c r="CZ3">
        <v>121.154</v>
      </c>
      <c r="DA3" t="s">
        <v>69</v>
      </c>
      <c r="DB3" t="s">
        <v>69</v>
      </c>
      <c r="DC3">
        <v>96</v>
      </c>
      <c r="DD3" t="s">
        <v>153</v>
      </c>
      <c r="DE3" t="s">
        <v>69</v>
      </c>
      <c r="DF3" t="s">
        <v>148</v>
      </c>
      <c r="DG3" t="s">
        <v>69</v>
      </c>
      <c r="DH3">
        <v>132.119</v>
      </c>
      <c r="DI3" t="s">
        <v>69</v>
      </c>
      <c r="DJ3" t="s">
        <v>69</v>
      </c>
      <c r="DK3">
        <v>109</v>
      </c>
      <c r="DL3" t="s">
        <v>119</v>
      </c>
      <c r="DM3" t="s">
        <v>69</v>
      </c>
      <c r="DN3" t="s">
        <v>120</v>
      </c>
      <c r="DO3" t="s">
        <v>69</v>
      </c>
      <c r="DP3">
        <v>147.131</v>
      </c>
      <c r="DQ3" t="s">
        <v>69</v>
      </c>
      <c r="DR3" t="s">
        <v>69</v>
      </c>
      <c r="DS3">
        <v>110</v>
      </c>
      <c r="DT3" t="s">
        <v>76</v>
      </c>
      <c r="DU3" t="s">
        <v>69</v>
      </c>
      <c r="DV3" t="s">
        <v>75</v>
      </c>
      <c r="DW3" t="s">
        <v>69</v>
      </c>
      <c r="DX3">
        <v>146.18899999999999</v>
      </c>
      <c r="DY3" t="s">
        <v>69</v>
      </c>
      <c r="DZ3" t="s">
        <v>69</v>
      </c>
      <c r="EA3">
        <v>112</v>
      </c>
      <c r="EB3" t="s">
        <v>147</v>
      </c>
      <c r="EC3" t="s">
        <v>69</v>
      </c>
      <c r="ED3" t="s">
        <v>148</v>
      </c>
      <c r="EE3" t="s">
        <v>69</v>
      </c>
      <c r="EF3">
        <v>146.14599999999999</v>
      </c>
      <c r="EG3" t="s">
        <v>69</v>
      </c>
      <c r="EH3" t="s">
        <v>69</v>
      </c>
      <c r="EI3">
        <v>113</v>
      </c>
      <c r="EJ3" t="s">
        <v>70</v>
      </c>
      <c r="EK3" t="s">
        <v>69</v>
      </c>
      <c r="EL3" t="s">
        <v>71</v>
      </c>
      <c r="EM3" t="s">
        <v>69</v>
      </c>
      <c r="EN3">
        <v>75.066999999999993</v>
      </c>
      <c r="EO3" t="s">
        <v>69</v>
      </c>
      <c r="EP3" t="s">
        <v>69</v>
      </c>
      <c r="EQ3">
        <v>114</v>
      </c>
      <c r="ER3" t="s">
        <v>146</v>
      </c>
      <c r="ES3" t="s">
        <v>153</v>
      </c>
      <c r="ET3" t="s">
        <v>71</v>
      </c>
      <c r="EU3" t="s">
        <v>153</v>
      </c>
      <c r="EV3">
        <v>115.13200000000001</v>
      </c>
      <c r="EW3" t="s">
        <v>153</v>
      </c>
      <c r="EX3" t="s">
        <v>153</v>
      </c>
      <c r="EY3">
        <v>116</v>
      </c>
      <c r="EZ3" t="s">
        <v>147</v>
      </c>
      <c r="FA3" t="s">
        <v>153</v>
      </c>
      <c r="FB3" t="s">
        <v>148</v>
      </c>
      <c r="FC3" t="s">
        <v>153</v>
      </c>
      <c r="FD3">
        <v>146.14599999999999</v>
      </c>
      <c r="FE3" t="s">
        <v>69</v>
      </c>
      <c r="FF3" t="s">
        <v>69</v>
      </c>
      <c r="FG3">
        <v>120</v>
      </c>
      <c r="FH3" t="s">
        <v>72</v>
      </c>
      <c r="FI3" t="s">
        <v>153</v>
      </c>
      <c r="FJ3" t="s">
        <v>71</v>
      </c>
      <c r="FK3" t="s">
        <v>69</v>
      </c>
      <c r="FL3">
        <v>131.17500000000001</v>
      </c>
      <c r="FM3" t="s">
        <v>69</v>
      </c>
      <c r="FN3" t="s">
        <v>69</v>
      </c>
      <c r="FO3">
        <v>124</v>
      </c>
      <c r="FP3" t="s">
        <v>147</v>
      </c>
      <c r="FQ3" t="s">
        <v>153</v>
      </c>
      <c r="FR3" t="s">
        <v>148</v>
      </c>
      <c r="FS3" t="s">
        <v>153</v>
      </c>
      <c r="FT3">
        <v>146.14599999999999</v>
      </c>
      <c r="FU3" t="s">
        <v>69</v>
      </c>
      <c r="FV3" t="s">
        <v>69</v>
      </c>
    </row>
    <row r="4" spans="1:178" x14ac:dyDescent="0.25">
      <c r="A4">
        <v>7</v>
      </c>
      <c r="B4" t="str">
        <f>HYPERLINK("http://www.ncbi.nlm.nih.gov/protein/XP_023603101.1","XP_023603101.1")</f>
        <v>XP_023603101.1</v>
      </c>
      <c r="C4">
        <v>44033</v>
      </c>
      <c r="D4" t="str">
        <f>HYPERLINK("http://www.ncbi.nlm.nih.gov/Taxonomy/Browser/wwwtax.cgi?mode=Info&amp;id=59463&amp;lvl=3&amp;lin=f&amp;keep=1&amp;srchmode=1&amp;unlock","59463")</f>
        <v>59463</v>
      </c>
      <c r="E4" t="s">
        <v>66</v>
      </c>
      <c r="F4" t="str">
        <f>HYPERLINK("http://www.ncbi.nlm.nih.gov/Taxonomy/Browser/wwwtax.cgi?mode=Info&amp;id=59463&amp;lvl=3&amp;lin=f&amp;keep=1&amp;srchmode=1&amp;unlock","Myotis lucifugus")</f>
        <v>Myotis lucifugus</v>
      </c>
      <c r="G4" t="s">
        <v>253</v>
      </c>
      <c r="H4" t="str">
        <f>HYPERLINK("http://www.ncbi.nlm.nih.gov/protein/XP_023603101.1","bone marrow stromal antigen 2 isoform X3")</f>
        <v>bone marrow stromal antigen 2 isoform X3</v>
      </c>
      <c r="I4" t="s">
        <v>251</v>
      </c>
      <c r="J4" t="s">
        <v>153</v>
      </c>
      <c r="K4">
        <v>51</v>
      </c>
      <c r="L4" t="s">
        <v>73</v>
      </c>
      <c r="M4" t="s">
        <v>69</v>
      </c>
      <c r="N4" t="s">
        <v>71</v>
      </c>
      <c r="O4" t="s">
        <v>69</v>
      </c>
      <c r="P4">
        <v>89.093999999999994</v>
      </c>
      <c r="Q4" t="s">
        <v>69</v>
      </c>
      <c r="R4" t="s">
        <v>69</v>
      </c>
      <c r="S4">
        <v>52</v>
      </c>
      <c r="T4" t="s">
        <v>153</v>
      </c>
      <c r="U4" t="s">
        <v>69</v>
      </c>
      <c r="V4" t="s">
        <v>148</v>
      </c>
      <c r="W4" t="s">
        <v>69</v>
      </c>
      <c r="X4">
        <v>132.119</v>
      </c>
      <c r="Y4" t="s">
        <v>69</v>
      </c>
      <c r="Z4" t="s">
        <v>69</v>
      </c>
      <c r="AA4">
        <v>53</v>
      </c>
      <c r="AB4" t="s">
        <v>155</v>
      </c>
      <c r="AC4" t="s">
        <v>69</v>
      </c>
      <c r="AD4" t="s">
        <v>150</v>
      </c>
      <c r="AE4" t="s">
        <v>69</v>
      </c>
      <c r="AF4">
        <v>105.093</v>
      </c>
      <c r="AG4" t="s">
        <v>69</v>
      </c>
      <c r="AH4" t="s">
        <v>69</v>
      </c>
      <c r="AI4">
        <v>54</v>
      </c>
      <c r="AJ4" t="s">
        <v>146</v>
      </c>
      <c r="AK4" t="s">
        <v>153</v>
      </c>
      <c r="AL4" t="s">
        <v>71</v>
      </c>
      <c r="AM4" t="s">
        <v>153</v>
      </c>
      <c r="AN4">
        <v>115.13200000000001</v>
      </c>
      <c r="AO4" t="s">
        <v>153</v>
      </c>
      <c r="AP4" t="s">
        <v>153</v>
      </c>
      <c r="AQ4">
        <v>55</v>
      </c>
      <c r="AR4" t="s">
        <v>73</v>
      </c>
      <c r="AS4" t="s">
        <v>69</v>
      </c>
      <c r="AT4" t="s">
        <v>71</v>
      </c>
      <c r="AU4" t="s">
        <v>69</v>
      </c>
      <c r="AV4">
        <v>89.093999999999994</v>
      </c>
      <c r="AW4" t="s">
        <v>69</v>
      </c>
      <c r="AX4" t="s">
        <v>69</v>
      </c>
      <c r="AY4">
        <v>56</v>
      </c>
      <c r="AZ4" t="s">
        <v>249</v>
      </c>
      <c r="BA4" t="s">
        <v>69</v>
      </c>
      <c r="BB4" t="s">
        <v>117</v>
      </c>
      <c r="BC4" t="s">
        <v>69</v>
      </c>
      <c r="BD4">
        <v>121.154</v>
      </c>
      <c r="BE4" t="s">
        <v>69</v>
      </c>
      <c r="BF4" t="s">
        <v>69</v>
      </c>
      <c r="BG4">
        <v>87</v>
      </c>
      <c r="BH4" t="s">
        <v>149</v>
      </c>
      <c r="BI4" t="s">
        <v>153</v>
      </c>
      <c r="BJ4" t="s">
        <v>150</v>
      </c>
      <c r="BK4" t="s">
        <v>153</v>
      </c>
      <c r="BL4">
        <v>119.119</v>
      </c>
      <c r="BM4" t="s">
        <v>69</v>
      </c>
      <c r="BN4" t="s">
        <v>69</v>
      </c>
      <c r="BO4">
        <v>88</v>
      </c>
      <c r="BP4" t="s">
        <v>119</v>
      </c>
      <c r="BQ4" t="s">
        <v>69</v>
      </c>
      <c r="BR4" t="s">
        <v>120</v>
      </c>
      <c r="BS4" t="s">
        <v>69</v>
      </c>
      <c r="BT4">
        <v>147.131</v>
      </c>
      <c r="BU4" t="s">
        <v>69</v>
      </c>
      <c r="BV4" t="s">
        <v>69</v>
      </c>
      <c r="BW4">
        <v>90</v>
      </c>
      <c r="BX4" t="s">
        <v>147</v>
      </c>
      <c r="BY4" t="s">
        <v>69</v>
      </c>
      <c r="BZ4" t="s">
        <v>148</v>
      </c>
      <c r="CA4" t="s">
        <v>69</v>
      </c>
      <c r="CB4">
        <v>146.14599999999999</v>
      </c>
      <c r="CC4" t="s">
        <v>69</v>
      </c>
      <c r="CD4" t="s">
        <v>69</v>
      </c>
      <c r="CE4">
        <v>91</v>
      </c>
      <c r="CF4" t="s">
        <v>73</v>
      </c>
      <c r="CG4" t="s">
        <v>69</v>
      </c>
      <c r="CH4" t="s">
        <v>71</v>
      </c>
      <c r="CI4" t="s">
        <v>69</v>
      </c>
      <c r="CJ4">
        <v>89.093999999999994</v>
      </c>
      <c r="CK4" t="s">
        <v>69</v>
      </c>
      <c r="CL4" t="s">
        <v>69</v>
      </c>
      <c r="CM4">
        <v>92</v>
      </c>
      <c r="CN4" t="s">
        <v>73</v>
      </c>
      <c r="CO4" t="s">
        <v>69</v>
      </c>
      <c r="CP4" t="s">
        <v>71</v>
      </c>
      <c r="CQ4" t="s">
        <v>69</v>
      </c>
      <c r="CR4">
        <v>89.093999999999994</v>
      </c>
      <c r="CS4" t="s">
        <v>69</v>
      </c>
      <c r="CT4" t="s">
        <v>69</v>
      </c>
      <c r="CU4">
        <v>94</v>
      </c>
      <c r="CV4" t="s">
        <v>249</v>
      </c>
      <c r="CW4" t="s">
        <v>69</v>
      </c>
      <c r="CX4" t="s">
        <v>117</v>
      </c>
      <c r="CY4" t="s">
        <v>69</v>
      </c>
      <c r="CZ4">
        <v>121.154</v>
      </c>
      <c r="DA4" t="s">
        <v>69</v>
      </c>
      <c r="DB4" t="s">
        <v>69</v>
      </c>
      <c r="DC4">
        <v>95</v>
      </c>
      <c r="DD4" t="s">
        <v>153</v>
      </c>
      <c r="DE4" t="s">
        <v>69</v>
      </c>
      <c r="DF4" t="s">
        <v>148</v>
      </c>
      <c r="DG4" t="s">
        <v>69</v>
      </c>
      <c r="DH4">
        <v>132.119</v>
      </c>
      <c r="DI4" t="s">
        <v>69</v>
      </c>
      <c r="DJ4" t="s">
        <v>69</v>
      </c>
      <c r="DK4">
        <v>108</v>
      </c>
      <c r="DL4" t="s">
        <v>119</v>
      </c>
      <c r="DM4" t="s">
        <v>69</v>
      </c>
      <c r="DN4" t="s">
        <v>120</v>
      </c>
      <c r="DO4" t="s">
        <v>69</v>
      </c>
      <c r="DP4">
        <v>147.131</v>
      </c>
      <c r="DQ4" t="s">
        <v>69</v>
      </c>
      <c r="DR4" t="s">
        <v>69</v>
      </c>
      <c r="DS4">
        <v>109</v>
      </c>
      <c r="DT4" t="s">
        <v>76</v>
      </c>
      <c r="DU4" t="s">
        <v>69</v>
      </c>
      <c r="DV4" t="s">
        <v>75</v>
      </c>
      <c r="DW4" t="s">
        <v>69</v>
      </c>
      <c r="DX4">
        <v>146.18899999999999</v>
      </c>
      <c r="DY4" t="s">
        <v>69</v>
      </c>
      <c r="DZ4" t="s">
        <v>69</v>
      </c>
      <c r="EA4">
        <v>111</v>
      </c>
      <c r="EB4" t="s">
        <v>73</v>
      </c>
      <c r="EC4" t="s">
        <v>153</v>
      </c>
      <c r="ED4" t="s">
        <v>71</v>
      </c>
      <c r="EE4" t="s">
        <v>153</v>
      </c>
      <c r="EF4">
        <v>89.093999999999994</v>
      </c>
      <c r="EG4" t="s">
        <v>153</v>
      </c>
      <c r="EH4" t="s">
        <v>153</v>
      </c>
      <c r="EI4">
        <v>112</v>
      </c>
      <c r="EJ4" t="s">
        <v>70</v>
      </c>
      <c r="EK4" t="s">
        <v>69</v>
      </c>
      <c r="EL4" t="s">
        <v>71</v>
      </c>
      <c r="EM4" t="s">
        <v>69</v>
      </c>
      <c r="EN4">
        <v>75.066999999999993</v>
      </c>
      <c r="EO4" t="s">
        <v>69</v>
      </c>
      <c r="EP4" t="s">
        <v>69</v>
      </c>
      <c r="EQ4">
        <v>113</v>
      </c>
      <c r="ER4" t="s">
        <v>157</v>
      </c>
      <c r="ES4" t="s">
        <v>153</v>
      </c>
      <c r="ET4" t="s">
        <v>75</v>
      </c>
      <c r="EU4" t="s">
        <v>153</v>
      </c>
      <c r="EV4">
        <v>155.15600000000001</v>
      </c>
      <c r="EW4" t="s">
        <v>69</v>
      </c>
      <c r="EX4" t="s">
        <v>69</v>
      </c>
      <c r="EY4">
        <v>115</v>
      </c>
      <c r="EZ4" t="s">
        <v>147</v>
      </c>
      <c r="FA4" t="s">
        <v>153</v>
      </c>
      <c r="FB4" t="s">
        <v>148</v>
      </c>
      <c r="FC4" t="s">
        <v>153</v>
      </c>
      <c r="FD4">
        <v>146.14599999999999</v>
      </c>
      <c r="FE4" t="s">
        <v>69</v>
      </c>
      <c r="FF4" t="s">
        <v>69</v>
      </c>
      <c r="FG4">
        <v>119</v>
      </c>
      <c r="FH4" t="s">
        <v>115</v>
      </c>
      <c r="FI4" t="s">
        <v>69</v>
      </c>
      <c r="FJ4" t="s">
        <v>71</v>
      </c>
      <c r="FK4" t="s">
        <v>69</v>
      </c>
      <c r="FL4">
        <v>117.148</v>
      </c>
      <c r="FM4" t="s">
        <v>69</v>
      </c>
      <c r="FN4" t="s">
        <v>69</v>
      </c>
      <c r="FO4">
        <v>123</v>
      </c>
      <c r="FP4" t="s">
        <v>147</v>
      </c>
      <c r="FQ4" t="s">
        <v>153</v>
      </c>
      <c r="FR4" t="s">
        <v>148</v>
      </c>
      <c r="FS4" t="s">
        <v>153</v>
      </c>
      <c r="FT4">
        <v>146.14599999999999</v>
      </c>
      <c r="FU4" t="s">
        <v>69</v>
      </c>
      <c r="FV4" t="s">
        <v>69</v>
      </c>
    </row>
    <row r="5" spans="1:178" x14ac:dyDescent="0.25">
      <c r="A5">
        <v>7</v>
      </c>
      <c r="B5" t="str">
        <f>HYPERLINK("http://www.ncbi.nlm.nih.gov/protein/QWX94046.1","QWX94046.1")</f>
        <v>QWX94046.1</v>
      </c>
      <c r="C5">
        <v>182</v>
      </c>
      <c r="D5" t="str">
        <f>HYPERLINK("http://www.ncbi.nlm.nih.gov/Taxonomy/Browser/wwwtax.cgi?mode=Info&amp;id=196889&amp;lvl=3&amp;lin=f&amp;keep=1&amp;srchmode=1&amp;unlock","196889")</f>
        <v>196889</v>
      </c>
      <c r="E5" t="s">
        <v>66</v>
      </c>
      <c r="F5" t="str">
        <f>HYPERLINK("http://www.ncbi.nlm.nih.gov/Taxonomy/Browser/wwwtax.cgi?mode=Info&amp;id=196889&amp;lvl=3&amp;lin=f&amp;keep=1&amp;srchmode=1&amp;unlock","Rhinolophus macrotis")</f>
        <v>Rhinolophus macrotis</v>
      </c>
      <c r="G5" t="s">
        <v>254</v>
      </c>
      <c r="H5" t="str">
        <f>HYPERLINK("http://www.ncbi.nlm.nih.gov/protein/QWX94046.1","BST-2")</f>
        <v>BST-2</v>
      </c>
      <c r="I5" t="s">
        <v>251</v>
      </c>
      <c r="J5" t="s">
        <v>153</v>
      </c>
      <c r="K5">
        <v>52</v>
      </c>
      <c r="L5" t="s">
        <v>73</v>
      </c>
      <c r="M5" t="s">
        <v>69</v>
      </c>
      <c r="N5" t="s">
        <v>71</v>
      </c>
      <c r="O5" t="s">
        <v>69</v>
      </c>
      <c r="P5">
        <v>89.093999999999994</v>
      </c>
      <c r="Q5" t="s">
        <v>69</v>
      </c>
      <c r="R5" t="s">
        <v>69</v>
      </c>
      <c r="S5">
        <v>53</v>
      </c>
      <c r="T5" t="s">
        <v>153</v>
      </c>
      <c r="U5" t="s">
        <v>69</v>
      </c>
      <c r="V5" t="s">
        <v>148</v>
      </c>
      <c r="W5" t="s">
        <v>69</v>
      </c>
      <c r="X5">
        <v>132.119</v>
      </c>
      <c r="Y5" t="s">
        <v>69</v>
      </c>
      <c r="Z5" t="s">
        <v>69</v>
      </c>
      <c r="AA5">
        <v>54</v>
      </c>
      <c r="AB5" t="s">
        <v>74</v>
      </c>
      <c r="AC5" t="s">
        <v>153</v>
      </c>
      <c r="AD5" t="s">
        <v>75</v>
      </c>
      <c r="AE5" t="s">
        <v>153</v>
      </c>
      <c r="AF5">
        <v>174.203</v>
      </c>
      <c r="AG5" t="s">
        <v>153</v>
      </c>
      <c r="AH5" t="s">
        <v>153</v>
      </c>
      <c r="AI5">
        <v>55</v>
      </c>
      <c r="AJ5" t="s">
        <v>119</v>
      </c>
      <c r="AK5" t="s">
        <v>69</v>
      </c>
      <c r="AL5" t="s">
        <v>120</v>
      </c>
      <c r="AM5" t="s">
        <v>69</v>
      </c>
      <c r="AN5">
        <v>147.131</v>
      </c>
      <c r="AO5" t="s">
        <v>69</v>
      </c>
      <c r="AP5" t="s">
        <v>69</v>
      </c>
      <c r="AQ5">
        <v>56</v>
      </c>
      <c r="AR5" t="s">
        <v>73</v>
      </c>
      <c r="AS5" t="s">
        <v>69</v>
      </c>
      <c r="AT5" t="s">
        <v>71</v>
      </c>
      <c r="AU5" t="s">
        <v>69</v>
      </c>
      <c r="AV5">
        <v>89.093999999999994</v>
      </c>
      <c r="AW5" t="s">
        <v>69</v>
      </c>
      <c r="AX5" t="s">
        <v>69</v>
      </c>
      <c r="AY5">
        <v>57</v>
      </c>
      <c r="AZ5" t="s">
        <v>249</v>
      </c>
      <c r="BA5" t="s">
        <v>69</v>
      </c>
      <c r="BB5" t="s">
        <v>117</v>
      </c>
      <c r="BC5" t="s">
        <v>69</v>
      </c>
      <c r="BD5">
        <v>121.154</v>
      </c>
      <c r="BE5" t="s">
        <v>69</v>
      </c>
      <c r="BF5" t="s">
        <v>69</v>
      </c>
      <c r="BG5">
        <v>88</v>
      </c>
      <c r="BH5" t="s">
        <v>116</v>
      </c>
      <c r="BI5" t="s">
        <v>153</v>
      </c>
      <c r="BJ5" t="s">
        <v>117</v>
      </c>
      <c r="BK5" t="s">
        <v>153</v>
      </c>
      <c r="BL5">
        <v>149.208</v>
      </c>
      <c r="BM5" t="s">
        <v>153</v>
      </c>
      <c r="BN5" t="s">
        <v>153</v>
      </c>
      <c r="BO5">
        <v>89</v>
      </c>
      <c r="BP5" t="s">
        <v>76</v>
      </c>
      <c r="BQ5" t="s">
        <v>153</v>
      </c>
      <c r="BR5" t="s">
        <v>75</v>
      </c>
      <c r="BS5" t="s">
        <v>153</v>
      </c>
      <c r="BT5">
        <v>146.18899999999999</v>
      </c>
      <c r="BU5" t="s">
        <v>69</v>
      </c>
      <c r="BV5" t="s">
        <v>69</v>
      </c>
      <c r="BW5">
        <v>91</v>
      </c>
      <c r="BX5" t="s">
        <v>147</v>
      </c>
      <c r="BY5" t="s">
        <v>69</v>
      </c>
      <c r="BZ5" t="s">
        <v>148</v>
      </c>
      <c r="CA5" t="s">
        <v>69</v>
      </c>
      <c r="CB5">
        <v>146.14599999999999</v>
      </c>
      <c r="CC5" t="s">
        <v>69</v>
      </c>
      <c r="CD5" t="s">
        <v>69</v>
      </c>
      <c r="CE5">
        <v>92</v>
      </c>
      <c r="CF5" t="s">
        <v>73</v>
      </c>
      <c r="CG5" t="s">
        <v>69</v>
      </c>
      <c r="CH5" t="s">
        <v>71</v>
      </c>
      <c r="CI5" t="s">
        <v>69</v>
      </c>
      <c r="CJ5">
        <v>89.093999999999994</v>
      </c>
      <c r="CK5" t="s">
        <v>69</v>
      </c>
      <c r="CL5" t="s">
        <v>69</v>
      </c>
      <c r="CM5">
        <v>93</v>
      </c>
      <c r="CN5" t="s">
        <v>73</v>
      </c>
      <c r="CO5" t="s">
        <v>69</v>
      </c>
      <c r="CP5" t="s">
        <v>71</v>
      </c>
      <c r="CQ5" t="s">
        <v>69</v>
      </c>
      <c r="CR5">
        <v>89.093999999999994</v>
      </c>
      <c r="CS5" t="s">
        <v>69</v>
      </c>
      <c r="CT5" t="s">
        <v>69</v>
      </c>
      <c r="CU5">
        <v>95</v>
      </c>
      <c r="CV5" t="s">
        <v>249</v>
      </c>
      <c r="CW5" t="s">
        <v>69</v>
      </c>
      <c r="CX5" t="s">
        <v>117</v>
      </c>
      <c r="CY5" t="s">
        <v>69</v>
      </c>
      <c r="CZ5">
        <v>121.154</v>
      </c>
      <c r="DA5" t="s">
        <v>69</v>
      </c>
      <c r="DB5" t="s">
        <v>69</v>
      </c>
      <c r="DC5">
        <v>96</v>
      </c>
      <c r="DD5" t="s">
        <v>153</v>
      </c>
      <c r="DE5" t="s">
        <v>69</v>
      </c>
      <c r="DF5" t="s">
        <v>148</v>
      </c>
      <c r="DG5" t="s">
        <v>69</v>
      </c>
      <c r="DH5">
        <v>132.119</v>
      </c>
      <c r="DI5" t="s">
        <v>69</v>
      </c>
      <c r="DJ5" t="s">
        <v>69</v>
      </c>
      <c r="DK5">
        <v>109</v>
      </c>
      <c r="DL5" t="s">
        <v>119</v>
      </c>
      <c r="DM5" t="s">
        <v>69</v>
      </c>
      <c r="DN5" t="s">
        <v>120</v>
      </c>
      <c r="DO5" t="s">
        <v>69</v>
      </c>
      <c r="DP5">
        <v>147.131</v>
      </c>
      <c r="DQ5" t="s">
        <v>69</v>
      </c>
      <c r="DR5" t="s">
        <v>69</v>
      </c>
      <c r="DS5">
        <v>110</v>
      </c>
      <c r="DT5" t="s">
        <v>76</v>
      </c>
      <c r="DU5" t="s">
        <v>69</v>
      </c>
      <c r="DV5" t="s">
        <v>75</v>
      </c>
      <c r="DW5" t="s">
        <v>69</v>
      </c>
      <c r="DX5">
        <v>146.18899999999999</v>
      </c>
      <c r="DY5" t="s">
        <v>69</v>
      </c>
      <c r="DZ5" t="s">
        <v>69</v>
      </c>
      <c r="EA5">
        <v>112</v>
      </c>
      <c r="EB5" t="s">
        <v>157</v>
      </c>
      <c r="EC5" t="s">
        <v>153</v>
      </c>
      <c r="ED5" t="s">
        <v>75</v>
      </c>
      <c r="EE5" t="s">
        <v>153</v>
      </c>
      <c r="EF5">
        <v>155.15600000000001</v>
      </c>
      <c r="EG5" t="s">
        <v>69</v>
      </c>
      <c r="EH5" t="s">
        <v>69</v>
      </c>
      <c r="EI5">
        <v>113</v>
      </c>
      <c r="EJ5" t="s">
        <v>70</v>
      </c>
      <c r="EK5" t="s">
        <v>69</v>
      </c>
      <c r="EL5" t="s">
        <v>71</v>
      </c>
      <c r="EM5" t="s">
        <v>69</v>
      </c>
      <c r="EN5">
        <v>75.066999999999993</v>
      </c>
      <c r="EO5" t="s">
        <v>69</v>
      </c>
      <c r="EP5" t="s">
        <v>69</v>
      </c>
      <c r="EQ5">
        <v>114</v>
      </c>
      <c r="ER5" t="s">
        <v>157</v>
      </c>
      <c r="ES5" t="s">
        <v>153</v>
      </c>
      <c r="ET5" t="s">
        <v>75</v>
      </c>
      <c r="EU5" t="s">
        <v>153</v>
      </c>
      <c r="EV5">
        <v>155.15600000000001</v>
      </c>
      <c r="EW5" t="s">
        <v>69</v>
      </c>
      <c r="EX5" t="s">
        <v>69</v>
      </c>
      <c r="EY5">
        <v>116</v>
      </c>
      <c r="EZ5" t="s">
        <v>147</v>
      </c>
      <c r="FA5" t="s">
        <v>153</v>
      </c>
      <c r="FB5" t="s">
        <v>148</v>
      </c>
      <c r="FC5" t="s">
        <v>153</v>
      </c>
      <c r="FD5">
        <v>146.14599999999999</v>
      </c>
      <c r="FE5" t="s">
        <v>69</v>
      </c>
      <c r="FF5" t="s">
        <v>69</v>
      </c>
      <c r="FG5">
        <v>120</v>
      </c>
      <c r="FH5" t="s">
        <v>115</v>
      </c>
      <c r="FI5" t="s">
        <v>69</v>
      </c>
      <c r="FJ5" t="s">
        <v>71</v>
      </c>
      <c r="FK5" t="s">
        <v>69</v>
      </c>
      <c r="FL5">
        <v>117.148</v>
      </c>
      <c r="FM5" t="s">
        <v>69</v>
      </c>
      <c r="FN5" t="s">
        <v>69</v>
      </c>
      <c r="FO5">
        <v>124</v>
      </c>
      <c r="FP5" t="s">
        <v>147</v>
      </c>
      <c r="FQ5" t="s">
        <v>153</v>
      </c>
      <c r="FR5" t="s">
        <v>148</v>
      </c>
      <c r="FS5" t="s">
        <v>153</v>
      </c>
      <c r="FT5">
        <v>146.14599999999999</v>
      </c>
      <c r="FU5" t="s">
        <v>69</v>
      </c>
      <c r="FV5" t="s">
        <v>69</v>
      </c>
    </row>
    <row r="6" spans="1:178" x14ac:dyDescent="0.25">
      <c r="A6">
        <v>7</v>
      </c>
      <c r="B6" t="str">
        <f>HYPERLINK("http://www.ncbi.nlm.nih.gov/protein/XP_019592303.1","XP_019592303.1")</f>
        <v>XP_019592303.1</v>
      </c>
      <c r="C6">
        <v>44832</v>
      </c>
      <c r="D6" t="str">
        <f>HYPERLINK("http://www.ncbi.nlm.nih.gov/Taxonomy/Browser/wwwtax.cgi?mode=Info&amp;id=89399&amp;lvl=3&amp;lin=f&amp;keep=1&amp;srchmode=1&amp;unlock","89399")</f>
        <v>89399</v>
      </c>
      <c r="E6" t="s">
        <v>66</v>
      </c>
      <c r="F6" t="str">
        <f>HYPERLINK("http://www.ncbi.nlm.nih.gov/Taxonomy/Browser/wwwtax.cgi?mode=Info&amp;id=89399&amp;lvl=3&amp;lin=f&amp;keep=1&amp;srchmode=1&amp;unlock","Rhinolophus sinicus")</f>
        <v>Rhinolophus sinicus</v>
      </c>
      <c r="G6" t="s">
        <v>255</v>
      </c>
      <c r="H6" t="str">
        <f>HYPERLINK("http://www.ncbi.nlm.nih.gov/protein/XP_019592303.1","PREDICTED: bone marrow stromal antigen 2")</f>
        <v>PREDICTED: bone marrow stromal antigen 2</v>
      </c>
      <c r="I6" t="s">
        <v>251</v>
      </c>
      <c r="J6" t="s">
        <v>153</v>
      </c>
      <c r="K6">
        <v>52</v>
      </c>
      <c r="L6" t="s">
        <v>73</v>
      </c>
      <c r="M6" t="s">
        <v>69</v>
      </c>
      <c r="N6" t="s">
        <v>71</v>
      </c>
      <c r="O6" t="s">
        <v>69</v>
      </c>
      <c r="P6">
        <v>89.093999999999994</v>
      </c>
      <c r="Q6" t="s">
        <v>69</v>
      </c>
      <c r="R6" t="s">
        <v>69</v>
      </c>
      <c r="S6">
        <v>53</v>
      </c>
      <c r="T6" t="s">
        <v>153</v>
      </c>
      <c r="U6" t="s">
        <v>69</v>
      </c>
      <c r="V6" t="s">
        <v>148</v>
      </c>
      <c r="W6" t="s">
        <v>69</v>
      </c>
      <c r="X6">
        <v>132.119</v>
      </c>
      <c r="Y6" t="s">
        <v>69</v>
      </c>
      <c r="Z6" t="s">
        <v>69</v>
      </c>
      <c r="AA6">
        <v>54</v>
      </c>
      <c r="AB6" t="s">
        <v>74</v>
      </c>
      <c r="AC6" t="s">
        <v>153</v>
      </c>
      <c r="AD6" t="s">
        <v>75</v>
      </c>
      <c r="AE6" t="s">
        <v>153</v>
      </c>
      <c r="AF6">
        <v>174.203</v>
      </c>
      <c r="AG6" t="s">
        <v>153</v>
      </c>
      <c r="AH6" t="s">
        <v>153</v>
      </c>
      <c r="AI6">
        <v>55</v>
      </c>
      <c r="AJ6" t="s">
        <v>119</v>
      </c>
      <c r="AK6" t="s">
        <v>69</v>
      </c>
      <c r="AL6" t="s">
        <v>120</v>
      </c>
      <c r="AM6" t="s">
        <v>69</v>
      </c>
      <c r="AN6">
        <v>147.131</v>
      </c>
      <c r="AO6" t="s">
        <v>69</v>
      </c>
      <c r="AP6" t="s">
        <v>69</v>
      </c>
      <c r="AQ6">
        <v>56</v>
      </c>
      <c r="AR6" t="s">
        <v>73</v>
      </c>
      <c r="AS6" t="s">
        <v>69</v>
      </c>
      <c r="AT6" t="s">
        <v>71</v>
      </c>
      <c r="AU6" t="s">
        <v>69</v>
      </c>
      <c r="AV6">
        <v>89.093999999999994</v>
      </c>
      <c r="AW6" t="s">
        <v>69</v>
      </c>
      <c r="AX6" t="s">
        <v>69</v>
      </c>
      <c r="AY6">
        <v>57</v>
      </c>
      <c r="AZ6" t="s">
        <v>249</v>
      </c>
      <c r="BA6" t="s">
        <v>69</v>
      </c>
      <c r="BB6" t="s">
        <v>117</v>
      </c>
      <c r="BC6" t="s">
        <v>69</v>
      </c>
      <c r="BD6">
        <v>121.154</v>
      </c>
      <c r="BE6" t="s">
        <v>69</v>
      </c>
      <c r="BF6" t="s">
        <v>69</v>
      </c>
      <c r="BG6">
        <v>88</v>
      </c>
      <c r="BH6" t="s">
        <v>116</v>
      </c>
      <c r="BI6" t="s">
        <v>153</v>
      </c>
      <c r="BJ6" t="s">
        <v>117</v>
      </c>
      <c r="BK6" t="s">
        <v>153</v>
      </c>
      <c r="BL6">
        <v>149.208</v>
      </c>
      <c r="BM6" t="s">
        <v>153</v>
      </c>
      <c r="BN6" t="s">
        <v>153</v>
      </c>
      <c r="BO6">
        <v>89</v>
      </c>
      <c r="BP6" t="s">
        <v>76</v>
      </c>
      <c r="BQ6" t="s">
        <v>153</v>
      </c>
      <c r="BR6" t="s">
        <v>75</v>
      </c>
      <c r="BS6" t="s">
        <v>153</v>
      </c>
      <c r="BT6">
        <v>146.18899999999999</v>
      </c>
      <c r="BU6" t="s">
        <v>69</v>
      </c>
      <c r="BV6" t="s">
        <v>69</v>
      </c>
      <c r="BW6">
        <v>91</v>
      </c>
      <c r="BX6" t="s">
        <v>147</v>
      </c>
      <c r="BY6" t="s">
        <v>69</v>
      </c>
      <c r="BZ6" t="s">
        <v>148</v>
      </c>
      <c r="CA6" t="s">
        <v>69</v>
      </c>
      <c r="CB6">
        <v>146.14599999999999</v>
      </c>
      <c r="CC6" t="s">
        <v>69</v>
      </c>
      <c r="CD6" t="s">
        <v>69</v>
      </c>
      <c r="CE6">
        <v>92</v>
      </c>
      <c r="CF6" t="s">
        <v>73</v>
      </c>
      <c r="CG6" t="s">
        <v>69</v>
      </c>
      <c r="CH6" t="s">
        <v>71</v>
      </c>
      <c r="CI6" t="s">
        <v>69</v>
      </c>
      <c r="CJ6">
        <v>89.093999999999994</v>
      </c>
      <c r="CK6" t="s">
        <v>69</v>
      </c>
      <c r="CL6" t="s">
        <v>69</v>
      </c>
      <c r="CM6">
        <v>93</v>
      </c>
      <c r="CN6" t="s">
        <v>73</v>
      </c>
      <c r="CO6" t="s">
        <v>69</v>
      </c>
      <c r="CP6" t="s">
        <v>71</v>
      </c>
      <c r="CQ6" t="s">
        <v>69</v>
      </c>
      <c r="CR6">
        <v>89.093999999999994</v>
      </c>
      <c r="CS6" t="s">
        <v>69</v>
      </c>
      <c r="CT6" t="s">
        <v>69</v>
      </c>
      <c r="CU6">
        <v>95</v>
      </c>
      <c r="CV6" t="s">
        <v>249</v>
      </c>
      <c r="CW6" t="s">
        <v>69</v>
      </c>
      <c r="CX6" t="s">
        <v>117</v>
      </c>
      <c r="CY6" t="s">
        <v>69</v>
      </c>
      <c r="CZ6">
        <v>121.154</v>
      </c>
      <c r="DA6" t="s">
        <v>69</v>
      </c>
      <c r="DB6" t="s">
        <v>69</v>
      </c>
      <c r="DC6">
        <v>96</v>
      </c>
      <c r="DD6" t="s">
        <v>153</v>
      </c>
      <c r="DE6" t="s">
        <v>69</v>
      </c>
      <c r="DF6" t="s">
        <v>148</v>
      </c>
      <c r="DG6" t="s">
        <v>69</v>
      </c>
      <c r="DH6">
        <v>132.119</v>
      </c>
      <c r="DI6" t="s">
        <v>69</v>
      </c>
      <c r="DJ6" t="s">
        <v>69</v>
      </c>
      <c r="DK6">
        <v>109</v>
      </c>
      <c r="DL6" t="s">
        <v>119</v>
      </c>
      <c r="DM6" t="s">
        <v>69</v>
      </c>
      <c r="DN6" t="s">
        <v>120</v>
      </c>
      <c r="DO6" t="s">
        <v>69</v>
      </c>
      <c r="DP6">
        <v>147.131</v>
      </c>
      <c r="DQ6" t="s">
        <v>69</v>
      </c>
      <c r="DR6" t="s">
        <v>69</v>
      </c>
      <c r="DS6">
        <v>110</v>
      </c>
      <c r="DT6" t="s">
        <v>76</v>
      </c>
      <c r="DU6" t="s">
        <v>69</v>
      </c>
      <c r="DV6" t="s">
        <v>75</v>
      </c>
      <c r="DW6" t="s">
        <v>69</v>
      </c>
      <c r="DX6">
        <v>146.18899999999999</v>
      </c>
      <c r="DY6" t="s">
        <v>69</v>
      </c>
      <c r="DZ6" t="s">
        <v>69</v>
      </c>
      <c r="EA6">
        <v>112</v>
      </c>
      <c r="EB6" t="s">
        <v>157</v>
      </c>
      <c r="EC6" t="s">
        <v>153</v>
      </c>
      <c r="ED6" t="s">
        <v>75</v>
      </c>
      <c r="EE6" t="s">
        <v>153</v>
      </c>
      <c r="EF6">
        <v>155.15600000000001</v>
      </c>
      <c r="EG6" t="s">
        <v>69</v>
      </c>
      <c r="EH6" t="s">
        <v>69</v>
      </c>
      <c r="EI6">
        <v>113</v>
      </c>
      <c r="EJ6" t="s">
        <v>70</v>
      </c>
      <c r="EK6" t="s">
        <v>69</v>
      </c>
      <c r="EL6" t="s">
        <v>71</v>
      </c>
      <c r="EM6" t="s">
        <v>69</v>
      </c>
      <c r="EN6">
        <v>75.066999999999993</v>
      </c>
      <c r="EO6" t="s">
        <v>69</v>
      </c>
      <c r="EP6" t="s">
        <v>69</v>
      </c>
      <c r="EQ6">
        <v>114</v>
      </c>
      <c r="ER6" t="s">
        <v>157</v>
      </c>
      <c r="ES6" t="s">
        <v>153</v>
      </c>
      <c r="ET6" t="s">
        <v>75</v>
      </c>
      <c r="EU6" t="s">
        <v>153</v>
      </c>
      <c r="EV6">
        <v>155.15600000000001</v>
      </c>
      <c r="EW6" t="s">
        <v>69</v>
      </c>
      <c r="EX6" t="s">
        <v>69</v>
      </c>
      <c r="EY6">
        <v>116</v>
      </c>
      <c r="EZ6" t="s">
        <v>147</v>
      </c>
      <c r="FA6" t="s">
        <v>153</v>
      </c>
      <c r="FB6" t="s">
        <v>148</v>
      </c>
      <c r="FC6" t="s">
        <v>153</v>
      </c>
      <c r="FD6">
        <v>146.14599999999999</v>
      </c>
      <c r="FE6" t="s">
        <v>69</v>
      </c>
      <c r="FF6" t="s">
        <v>69</v>
      </c>
      <c r="FG6">
        <v>120</v>
      </c>
      <c r="FH6" t="s">
        <v>115</v>
      </c>
      <c r="FI6" t="s">
        <v>69</v>
      </c>
      <c r="FJ6" t="s">
        <v>71</v>
      </c>
      <c r="FK6" t="s">
        <v>69</v>
      </c>
      <c r="FL6">
        <v>117.148</v>
      </c>
      <c r="FM6" t="s">
        <v>69</v>
      </c>
      <c r="FN6" t="s">
        <v>69</v>
      </c>
      <c r="FO6">
        <v>124</v>
      </c>
      <c r="FP6" t="s">
        <v>147</v>
      </c>
      <c r="FQ6" t="s">
        <v>153</v>
      </c>
      <c r="FR6" t="s">
        <v>148</v>
      </c>
      <c r="FS6" t="s">
        <v>153</v>
      </c>
      <c r="FT6">
        <v>146.14599999999999</v>
      </c>
      <c r="FU6" t="s">
        <v>69</v>
      </c>
      <c r="FV6" t="s">
        <v>69</v>
      </c>
    </row>
    <row r="7" spans="1:178" x14ac:dyDescent="0.25">
      <c r="A7">
        <v>7</v>
      </c>
      <c r="B7" t="str">
        <f>HYPERLINK("http://www.ncbi.nlm.nih.gov/protein/QWX94041.1","QWX94041.1")</f>
        <v>QWX94041.1</v>
      </c>
      <c r="C7">
        <v>106890</v>
      </c>
      <c r="D7" t="str">
        <f>HYPERLINK("http://www.ncbi.nlm.nih.gov/Taxonomy/Browser/wwwtax.cgi?mode=Info&amp;id=51298&amp;lvl=3&amp;lin=f&amp;keep=1&amp;srchmode=1&amp;unlock","51298")</f>
        <v>51298</v>
      </c>
      <c r="E7" t="s">
        <v>66</v>
      </c>
      <c r="F7" t="str">
        <f>HYPERLINK("http://www.ncbi.nlm.nih.gov/Taxonomy/Browser/wwwtax.cgi?mode=Info&amp;id=51298&amp;lvl=3&amp;lin=f&amp;keep=1&amp;srchmode=1&amp;unlock","Myotis myotis")</f>
        <v>Myotis myotis</v>
      </c>
      <c r="G7" t="s">
        <v>256</v>
      </c>
      <c r="H7" t="str">
        <f>HYPERLINK("http://www.ncbi.nlm.nih.gov/protein/QWX94041.1","BST-2")</f>
        <v>BST-2</v>
      </c>
      <c r="I7" t="s">
        <v>251</v>
      </c>
      <c r="J7" t="s">
        <v>153</v>
      </c>
      <c r="K7">
        <v>54</v>
      </c>
      <c r="L7" t="s">
        <v>73</v>
      </c>
      <c r="M7" t="s">
        <v>69</v>
      </c>
      <c r="N7" t="s">
        <v>71</v>
      </c>
      <c r="O7" t="s">
        <v>69</v>
      </c>
      <c r="P7">
        <v>89.093999999999994</v>
      </c>
      <c r="Q7" t="s">
        <v>69</v>
      </c>
      <c r="R7" t="s">
        <v>69</v>
      </c>
      <c r="S7">
        <v>55</v>
      </c>
      <c r="T7" t="s">
        <v>153</v>
      </c>
      <c r="U7" t="s">
        <v>69</v>
      </c>
      <c r="V7" t="s">
        <v>148</v>
      </c>
      <c r="W7" t="s">
        <v>69</v>
      </c>
      <c r="X7">
        <v>132.119</v>
      </c>
      <c r="Y7" t="s">
        <v>69</v>
      </c>
      <c r="Z7" t="s">
        <v>69</v>
      </c>
      <c r="AA7">
        <v>56</v>
      </c>
      <c r="AB7" t="s">
        <v>155</v>
      </c>
      <c r="AC7" t="s">
        <v>69</v>
      </c>
      <c r="AD7" t="s">
        <v>150</v>
      </c>
      <c r="AE7" t="s">
        <v>69</v>
      </c>
      <c r="AF7">
        <v>105.093</v>
      </c>
      <c r="AG7" t="s">
        <v>69</v>
      </c>
      <c r="AH7" t="s">
        <v>69</v>
      </c>
      <c r="AI7">
        <v>57</v>
      </c>
      <c r="AJ7" t="s">
        <v>146</v>
      </c>
      <c r="AK7" t="s">
        <v>153</v>
      </c>
      <c r="AL7" t="s">
        <v>71</v>
      </c>
      <c r="AM7" t="s">
        <v>153</v>
      </c>
      <c r="AN7">
        <v>115.13200000000001</v>
      </c>
      <c r="AO7" t="s">
        <v>153</v>
      </c>
      <c r="AP7" t="s">
        <v>153</v>
      </c>
      <c r="AQ7">
        <v>58</v>
      </c>
      <c r="AR7" t="s">
        <v>73</v>
      </c>
      <c r="AS7" t="s">
        <v>69</v>
      </c>
      <c r="AT7" t="s">
        <v>71</v>
      </c>
      <c r="AU7" t="s">
        <v>69</v>
      </c>
      <c r="AV7">
        <v>89.093999999999994</v>
      </c>
      <c r="AW7" t="s">
        <v>69</v>
      </c>
      <c r="AX7" t="s">
        <v>69</v>
      </c>
      <c r="AY7">
        <v>59</v>
      </c>
      <c r="AZ7" t="s">
        <v>249</v>
      </c>
      <c r="BA7" t="s">
        <v>69</v>
      </c>
      <c r="BB7" t="s">
        <v>117</v>
      </c>
      <c r="BC7" t="s">
        <v>69</v>
      </c>
      <c r="BD7">
        <v>121.154</v>
      </c>
      <c r="BE7" t="s">
        <v>69</v>
      </c>
      <c r="BF7" t="s">
        <v>69</v>
      </c>
      <c r="BG7">
        <v>90</v>
      </c>
      <c r="BH7" t="s">
        <v>149</v>
      </c>
      <c r="BI7" t="s">
        <v>153</v>
      </c>
      <c r="BJ7" t="s">
        <v>150</v>
      </c>
      <c r="BK7" t="s">
        <v>153</v>
      </c>
      <c r="BL7">
        <v>119.119</v>
      </c>
      <c r="BM7" t="s">
        <v>69</v>
      </c>
      <c r="BN7" t="s">
        <v>69</v>
      </c>
      <c r="BO7">
        <v>91</v>
      </c>
      <c r="BP7" t="s">
        <v>119</v>
      </c>
      <c r="BQ7" t="s">
        <v>69</v>
      </c>
      <c r="BR7" t="s">
        <v>120</v>
      </c>
      <c r="BS7" t="s">
        <v>69</v>
      </c>
      <c r="BT7">
        <v>147.131</v>
      </c>
      <c r="BU7" t="s">
        <v>69</v>
      </c>
      <c r="BV7" t="s">
        <v>69</v>
      </c>
      <c r="BW7">
        <v>93</v>
      </c>
      <c r="BX7" t="s">
        <v>147</v>
      </c>
      <c r="BY7" t="s">
        <v>69</v>
      </c>
      <c r="BZ7" t="s">
        <v>148</v>
      </c>
      <c r="CA7" t="s">
        <v>69</v>
      </c>
      <c r="CB7">
        <v>146.14599999999999</v>
      </c>
      <c r="CC7" t="s">
        <v>69</v>
      </c>
      <c r="CD7" t="s">
        <v>69</v>
      </c>
      <c r="CE7">
        <v>94</v>
      </c>
      <c r="CF7" t="s">
        <v>73</v>
      </c>
      <c r="CG7" t="s">
        <v>69</v>
      </c>
      <c r="CH7" t="s">
        <v>71</v>
      </c>
      <c r="CI7" t="s">
        <v>69</v>
      </c>
      <c r="CJ7">
        <v>89.093999999999994</v>
      </c>
      <c r="CK7" t="s">
        <v>69</v>
      </c>
      <c r="CL7" t="s">
        <v>69</v>
      </c>
      <c r="CM7">
        <v>95</v>
      </c>
      <c r="CN7" t="s">
        <v>73</v>
      </c>
      <c r="CO7" t="s">
        <v>69</v>
      </c>
      <c r="CP7" t="s">
        <v>71</v>
      </c>
      <c r="CQ7" t="s">
        <v>69</v>
      </c>
      <c r="CR7">
        <v>89.093999999999994</v>
      </c>
      <c r="CS7" t="s">
        <v>69</v>
      </c>
      <c r="CT7" t="s">
        <v>69</v>
      </c>
      <c r="CU7">
        <v>97</v>
      </c>
      <c r="CV7" t="s">
        <v>249</v>
      </c>
      <c r="CW7" t="s">
        <v>69</v>
      </c>
      <c r="CX7" t="s">
        <v>117</v>
      </c>
      <c r="CY7" t="s">
        <v>69</v>
      </c>
      <c r="CZ7">
        <v>121.154</v>
      </c>
      <c r="DA7" t="s">
        <v>69</v>
      </c>
      <c r="DB7" t="s">
        <v>69</v>
      </c>
      <c r="DC7">
        <v>98</v>
      </c>
      <c r="DD7" t="s">
        <v>153</v>
      </c>
      <c r="DE7" t="s">
        <v>69</v>
      </c>
      <c r="DF7" t="s">
        <v>148</v>
      </c>
      <c r="DG7" t="s">
        <v>69</v>
      </c>
      <c r="DH7">
        <v>132.119</v>
      </c>
      <c r="DI7" t="s">
        <v>69</v>
      </c>
      <c r="DJ7" t="s">
        <v>69</v>
      </c>
      <c r="DK7">
        <v>111</v>
      </c>
      <c r="DL7" t="s">
        <v>119</v>
      </c>
      <c r="DM7" t="s">
        <v>69</v>
      </c>
      <c r="DN7" t="s">
        <v>120</v>
      </c>
      <c r="DO7" t="s">
        <v>69</v>
      </c>
      <c r="DP7">
        <v>147.131</v>
      </c>
      <c r="DQ7" t="s">
        <v>69</v>
      </c>
      <c r="DR7" t="s">
        <v>69</v>
      </c>
      <c r="DS7">
        <v>112</v>
      </c>
      <c r="DT7" t="s">
        <v>76</v>
      </c>
      <c r="DU7" t="s">
        <v>69</v>
      </c>
      <c r="DV7" t="s">
        <v>75</v>
      </c>
      <c r="DW7" t="s">
        <v>69</v>
      </c>
      <c r="DX7">
        <v>146.18899999999999</v>
      </c>
      <c r="DY7" t="s">
        <v>69</v>
      </c>
      <c r="DZ7" t="s">
        <v>69</v>
      </c>
      <c r="EA7">
        <v>114</v>
      </c>
      <c r="EB7" t="s">
        <v>73</v>
      </c>
      <c r="EC7" t="s">
        <v>153</v>
      </c>
      <c r="ED7" t="s">
        <v>71</v>
      </c>
      <c r="EE7" t="s">
        <v>153</v>
      </c>
      <c r="EF7">
        <v>89.093999999999994</v>
      </c>
      <c r="EG7" t="s">
        <v>153</v>
      </c>
      <c r="EH7" t="s">
        <v>153</v>
      </c>
      <c r="EI7">
        <v>115</v>
      </c>
      <c r="EJ7" t="s">
        <v>70</v>
      </c>
      <c r="EK7" t="s">
        <v>69</v>
      </c>
      <c r="EL7" t="s">
        <v>71</v>
      </c>
      <c r="EM7" t="s">
        <v>69</v>
      </c>
      <c r="EN7">
        <v>75.066999999999993</v>
      </c>
      <c r="EO7" t="s">
        <v>69</v>
      </c>
      <c r="EP7" t="s">
        <v>69</v>
      </c>
      <c r="EQ7">
        <v>116</v>
      </c>
      <c r="ER7" t="s">
        <v>157</v>
      </c>
      <c r="ES7" t="s">
        <v>153</v>
      </c>
      <c r="ET7" t="s">
        <v>75</v>
      </c>
      <c r="EU7" t="s">
        <v>153</v>
      </c>
      <c r="EV7">
        <v>155.15600000000001</v>
      </c>
      <c r="EW7" t="s">
        <v>69</v>
      </c>
      <c r="EX7" t="s">
        <v>69</v>
      </c>
      <c r="EY7">
        <v>118</v>
      </c>
      <c r="EZ7" t="s">
        <v>147</v>
      </c>
      <c r="FA7" t="s">
        <v>153</v>
      </c>
      <c r="FB7" t="s">
        <v>148</v>
      </c>
      <c r="FC7" t="s">
        <v>153</v>
      </c>
      <c r="FD7">
        <v>146.14599999999999</v>
      </c>
      <c r="FE7" t="s">
        <v>69</v>
      </c>
      <c r="FF7" t="s">
        <v>69</v>
      </c>
      <c r="FG7">
        <v>122</v>
      </c>
      <c r="FH7" t="s">
        <v>115</v>
      </c>
      <c r="FI7" t="s">
        <v>69</v>
      </c>
      <c r="FJ7" t="s">
        <v>71</v>
      </c>
      <c r="FK7" t="s">
        <v>69</v>
      </c>
      <c r="FL7">
        <v>117.148</v>
      </c>
      <c r="FM7" t="s">
        <v>69</v>
      </c>
      <c r="FN7" t="s">
        <v>69</v>
      </c>
      <c r="FO7">
        <v>126</v>
      </c>
      <c r="FP7" t="s">
        <v>147</v>
      </c>
      <c r="FQ7" t="s">
        <v>153</v>
      </c>
      <c r="FR7" t="s">
        <v>148</v>
      </c>
      <c r="FS7" t="s">
        <v>153</v>
      </c>
      <c r="FT7">
        <v>146.14599999999999</v>
      </c>
      <c r="FU7" t="s">
        <v>69</v>
      </c>
      <c r="FV7" t="s">
        <v>69</v>
      </c>
    </row>
    <row r="8" spans="1:178" x14ac:dyDescent="0.25">
      <c r="A8">
        <v>7</v>
      </c>
      <c r="B8" t="str">
        <f>HYPERLINK("http://www.ncbi.nlm.nih.gov/protein/XP_036997875.1","XP_036997875.1")</f>
        <v>XP_036997875.1</v>
      </c>
      <c r="C8">
        <v>43357</v>
      </c>
      <c r="D8" t="str">
        <f>HYPERLINK("http://www.ncbi.nlm.nih.gov/Taxonomy/Browser/wwwtax.cgi?mode=Info&amp;id=9417&amp;lvl=3&amp;lin=f&amp;keep=1&amp;srchmode=1&amp;unlock","9417")</f>
        <v>9417</v>
      </c>
      <c r="E8" t="s">
        <v>66</v>
      </c>
      <c r="F8" t="str">
        <f>HYPERLINK("http://www.ncbi.nlm.nih.gov/Taxonomy/Browser/wwwtax.cgi?mode=Info&amp;id=9417&amp;lvl=3&amp;lin=f&amp;keep=1&amp;srchmode=1&amp;unlock","Artibeus jamaicensis")</f>
        <v>Artibeus jamaicensis</v>
      </c>
      <c r="G8" t="s">
        <v>257</v>
      </c>
      <c r="H8" t="str">
        <f>HYPERLINK("http://www.ncbi.nlm.nih.gov/protein/XP_036997875.1","bone marrow stromal antigen 2")</f>
        <v>bone marrow stromal antigen 2</v>
      </c>
      <c r="I8" t="s">
        <v>251</v>
      </c>
      <c r="J8" t="s">
        <v>153</v>
      </c>
      <c r="K8">
        <v>56</v>
      </c>
      <c r="L8" t="s">
        <v>73</v>
      </c>
      <c r="M8" t="s">
        <v>69</v>
      </c>
      <c r="N8" t="s">
        <v>71</v>
      </c>
      <c r="O8" t="s">
        <v>69</v>
      </c>
      <c r="P8">
        <v>89.093999999999994</v>
      </c>
      <c r="Q8" t="s">
        <v>69</v>
      </c>
      <c r="R8" t="s">
        <v>69</v>
      </c>
      <c r="S8">
        <v>57</v>
      </c>
      <c r="T8" t="s">
        <v>157</v>
      </c>
      <c r="U8" t="s">
        <v>153</v>
      </c>
      <c r="V8" t="s">
        <v>75</v>
      </c>
      <c r="W8" t="s">
        <v>153</v>
      </c>
      <c r="X8">
        <v>155.15600000000001</v>
      </c>
      <c r="Y8" t="s">
        <v>69</v>
      </c>
      <c r="Z8" t="s">
        <v>69</v>
      </c>
      <c r="AA8">
        <v>58</v>
      </c>
      <c r="AB8" t="s">
        <v>155</v>
      </c>
      <c r="AC8" t="s">
        <v>69</v>
      </c>
      <c r="AD8" t="s">
        <v>150</v>
      </c>
      <c r="AE8" t="s">
        <v>69</v>
      </c>
      <c r="AF8">
        <v>105.093</v>
      </c>
      <c r="AG8" t="s">
        <v>69</v>
      </c>
      <c r="AH8" t="s">
        <v>69</v>
      </c>
      <c r="AI8">
        <v>59</v>
      </c>
      <c r="AJ8" t="s">
        <v>72</v>
      </c>
      <c r="AK8" t="s">
        <v>153</v>
      </c>
      <c r="AL8" t="s">
        <v>71</v>
      </c>
      <c r="AM8" t="s">
        <v>153</v>
      </c>
      <c r="AN8">
        <v>131.17500000000001</v>
      </c>
      <c r="AO8" t="s">
        <v>69</v>
      </c>
      <c r="AP8" t="s">
        <v>69</v>
      </c>
      <c r="AQ8">
        <v>60</v>
      </c>
      <c r="AR8" t="s">
        <v>73</v>
      </c>
      <c r="AS8" t="s">
        <v>69</v>
      </c>
      <c r="AT8" t="s">
        <v>71</v>
      </c>
      <c r="AU8" t="s">
        <v>69</v>
      </c>
      <c r="AV8">
        <v>89.093999999999994</v>
      </c>
      <c r="AW8" t="s">
        <v>69</v>
      </c>
      <c r="AX8" t="s">
        <v>69</v>
      </c>
      <c r="AY8">
        <v>61</v>
      </c>
      <c r="AZ8" t="s">
        <v>249</v>
      </c>
      <c r="BA8" t="s">
        <v>69</v>
      </c>
      <c r="BB8" t="s">
        <v>117</v>
      </c>
      <c r="BC8" t="s">
        <v>69</v>
      </c>
      <c r="BD8">
        <v>121.154</v>
      </c>
      <c r="BE8" t="s">
        <v>69</v>
      </c>
      <c r="BF8" t="s">
        <v>69</v>
      </c>
      <c r="BG8">
        <v>92</v>
      </c>
      <c r="BH8" t="s">
        <v>149</v>
      </c>
      <c r="BI8" t="s">
        <v>153</v>
      </c>
      <c r="BJ8" t="s">
        <v>150</v>
      </c>
      <c r="BK8" t="s">
        <v>153</v>
      </c>
      <c r="BL8">
        <v>119.119</v>
      </c>
      <c r="BM8" t="s">
        <v>69</v>
      </c>
      <c r="BN8" t="s">
        <v>69</v>
      </c>
      <c r="BO8">
        <v>93</v>
      </c>
      <c r="BP8" t="s">
        <v>119</v>
      </c>
      <c r="BQ8" t="s">
        <v>69</v>
      </c>
      <c r="BR8" t="s">
        <v>120</v>
      </c>
      <c r="BS8" t="s">
        <v>69</v>
      </c>
      <c r="BT8">
        <v>147.131</v>
      </c>
      <c r="BU8" t="s">
        <v>69</v>
      </c>
      <c r="BV8" t="s">
        <v>69</v>
      </c>
      <c r="BW8">
        <v>95</v>
      </c>
      <c r="BX8" t="s">
        <v>147</v>
      </c>
      <c r="BY8" t="s">
        <v>69</v>
      </c>
      <c r="BZ8" t="s">
        <v>148</v>
      </c>
      <c r="CA8" t="s">
        <v>69</v>
      </c>
      <c r="CB8">
        <v>146.14599999999999</v>
      </c>
      <c r="CC8" t="s">
        <v>69</v>
      </c>
      <c r="CD8" t="s">
        <v>69</v>
      </c>
      <c r="CE8">
        <v>96</v>
      </c>
      <c r="CF8" t="s">
        <v>73</v>
      </c>
      <c r="CG8" t="s">
        <v>69</v>
      </c>
      <c r="CH8" t="s">
        <v>71</v>
      </c>
      <c r="CI8" t="s">
        <v>69</v>
      </c>
      <c r="CJ8">
        <v>89.093999999999994</v>
      </c>
      <c r="CK8" t="s">
        <v>69</v>
      </c>
      <c r="CL8" t="s">
        <v>69</v>
      </c>
      <c r="CM8">
        <v>97</v>
      </c>
      <c r="CN8" t="s">
        <v>73</v>
      </c>
      <c r="CO8" t="s">
        <v>69</v>
      </c>
      <c r="CP8" t="s">
        <v>71</v>
      </c>
      <c r="CQ8" t="s">
        <v>69</v>
      </c>
      <c r="CR8">
        <v>89.093999999999994</v>
      </c>
      <c r="CS8" t="s">
        <v>69</v>
      </c>
      <c r="CT8" t="s">
        <v>69</v>
      </c>
      <c r="CU8">
        <v>99</v>
      </c>
      <c r="CV8" t="s">
        <v>69</v>
      </c>
      <c r="CW8" t="s">
        <v>153</v>
      </c>
      <c r="CX8" t="s">
        <v>152</v>
      </c>
      <c r="CY8" t="s">
        <v>153</v>
      </c>
      <c r="CZ8">
        <v>181.191</v>
      </c>
      <c r="DA8" t="s">
        <v>153</v>
      </c>
      <c r="DB8" t="s">
        <v>153</v>
      </c>
      <c r="DC8">
        <v>100</v>
      </c>
      <c r="DD8" t="s">
        <v>153</v>
      </c>
      <c r="DE8" t="s">
        <v>69</v>
      </c>
      <c r="DF8" t="s">
        <v>148</v>
      </c>
      <c r="DG8" t="s">
        <v>69</v>
      </c>
      <c r="DH8">
        <v>132.119</v>
      </c>
      <c r="DI8" t="s">
        <v>69</v>
      </c>
      <c r="DJ8" t="s">
        <v>69</v>
      </c>
      <c r="DK8">
        <v>113</v>
      </c>
      <c r="DL8" t="s">
        <v>119</v>
      </c>
      <c r="DM8" t="s">
        <v>69</v>
      </c>
      <c r="DN8" t="s">
        <v>120</v>
      </c>
      <c r="DO8" t="s">
        <v>69</v>
      </c>
      <c r="DP8">
        <v>147.131</v>
      </c>
      <c r="DQ8" t="s">
        <v>69</v>
      </c>
      <c r="DR8" t="s">
        <v>69</v>
      </c>
      <c r="DS8">
        <v>114</v>
      </c>
      <c r="DT8" t="s">
        <v>147</v>
      </c>
      <c r="DU8" t="s">
        <v>153</v>
      </c>
      <c r="DV8" t="s">
        <v>148</v>
      </c>
      <c r="DW8" t="s">
        <v>153</v>
      </c>
      <c r="DX8">
        <v>146.14599999999999</v>
      </c>
      <c r="DY8" t="s">
        <v>69</v>
      </c>
      <c r="DZ8" t="s">
        <v>69</v>
      </c>
      <c r="EA8">
        <v>116</v>
      </c>
      <c r="EB8" t="s">
        <v>147</v>
      </c>
      <c r="EC8" t="s">
        <v>69</v>
      </c>
      <c r="ED8" t="s">
        <v>148</v>
      </c>
      <c r="EE8" t="s">
        <v>69</v>
      </c>
      <c r="EF8">
        <v>146.14599999999999</v>
      </c>
      <c r="EG8" t="s">
        <v>69</v>
      </c>
      <c r="EH8" t="s">
        <v>69</v>
      </c>
      <c r="EI8">
        <v>117</v>
      </c>
      <c r="EJ8" t="s">
        <v>70</v>
      </c>
      <c r="EK8" t="s">
        <v>69</v>
      </c>
      <c r="EL8" t="s">
        <v>71</v>
      </c>
      <c r="EM8" t="s">
        <v>69</v>
      </c>
      <c r="EN8">
        <v>75.066999999999993</v>
      </c>
      <c r="EO8" t="s">
        <v>69</v>
      </c>
      <c r="EP8" t="s">
        <v>69</v>
      </c>
      <c r="EQ8">
        <v>118</v>
      </c>
      <c r="ER8" t="s">
        <v>147</v>
      </c>
      <c r="ES8" t="s">
        <v>69</v>
      </c>
      <c r="ET8" t="s">
        <v>148</v>
      </c>
      <c r="EU8" t="s">
        <v>69</v>
      </c>
      <c r="EV8">
        <v>146.14599999999999</v>
      </c>
      <c r="EW8" t="s">
        <v>69</v>
      </c>
      <c r="EX8" t="s">
        <v>69</v>
      </c>
      <c r="EY8">
        <v>120</v>
      </c>
      <c r="EZ8" t="s">
        <v>72</v>
      </c>
      <c r="FA8" t="s">
        <v>153</v>
      </c>
      <c r="FB8" t="s">
        <v>71</v>
      </c>
      <c r="FC8" t="s">
        <v>153</v>
      </c>
      <c r="FD8">
        <v>131.17500000000001</v>
      </c>
      <c r="FE8" t="s">
        <v>69</v>
      </c>
      <c r="FF8" t="s">
        <v>69</v>
      </c>
      <c r="FG8">
        <v>124</v>
      </c>
      <c r="FH8" t="s">
        <v>115</v>
      </c>
      <c r="FI8" t="s">
        <v>69</v>
      </c>
      <c r="FJ8" t="s">
        <v>71</v>
      </c>
      <c r="FK8" t="s">
        <v>69</v>
      </c>
      <c r="FL8">
        <v>117.148</v>
      </c>
      <c r="FM8" t="s">
        <v>69</v>
      </c>
      <c r="FN8" t="s">
        <v>69</v>
      </c>
      <c r="FO8">
        <v>128</v>
      </c>
      <c r="FP8" t="s">
        <v>147</v>
      </c>
      <c r="FQ8" t="s">
        <v>153</v>
      </c>
      <c r="FR8" t="s">
        <v>148</v>
      </c>
      <c r="FS8" t="s">
        <v>153</v>
      </c>
      <c r="FT8">
        <v>146.14599999999999</v>
      </c>
      <c r="FU8" t="s">
        <v>69</v>
      </c>
      <c r="FV8" t="s">
        <v>69</v>
      </c>
    </row>
    <row r="9" spans="1:178" x14ac:dyDescent="0.25">
      <c r="A9">
        <v>7</v>
      </c>
      <c r="B9" t="str">
        <f>HYPERLINK("http://www.ncbi.nlm.nih.gov/protein/XP_027990208.1","XP_027990208.1")</f>
        <v>XP_027990208.1</v>
      </c>
      <c r="C9">
        <v>50028</v>
      </c>
      <c r="D9" t="str">
        <f>HYPERLINK("http://www.ncbi.nlm.nih.gov/Taxonomy/Browser/wwwtax.cgi?mode=Info&amp;id=29078&amp;lvl=3&amp;lin=f&amp;keep=1&amp;srchmode=1&amp;unlock","29078")</f>
        <v>29078</v>
      </c>
      <c r="E9" t="s">
        <v>66</v>
      </c>
      <c r="F9" t="str">
        <f>HYPERLINK("http://www.ncbi.nlm.nih.gov/Taxonomy/Browser/wwwtax.cgi?mode=Info&amp;id=29078&amp;lvl=3&amp;lin=f&amp;keep=1&amp;srchmode=1&amp;unlock","Eptesicus fuscus")</f>
        <v>Eptesicus fuscus</v>
      </c>
      <c r="G9" t="s">
        <v>258</v>
      </c>
      <c r="H9" t="str">
        <f>HYPERLINK("http://www.ncbi.nlm.nih.gov/protein/XP_027990208.1","bone marrow stromal antigen 2, partial")</f>
        <v>bone marrow stromal antigen 2, partial</v>
      </c>
      <c r="I9" t="s">
        <v>251</v>
      </c>
      <c r="J9" t="s">
        <v>153</v>
      </c>
      <c r="K9">
        <v>54</v>
      </c>
      <c r="L9" t="s">
        <v>156</v>
      </c>
      <c r="M9" t="s">
        <v>153</v>
      </c>
      <c r="N9" t="s">
        <v>120</v>
      </c>
      <c r="O9" t="s">
        <v>153</v>
      </c>
      <c r="P9">
        <v>133.10400000000001</v>
      </c>
      <c r="Q9" t="s">
        <v>153</v>
      </c>
      <c r="R9" t="s">
        <v>153</v>
      </c>
      <c r="S9">
        <v>55</v>
      </c>
      <c r="T9" t="s">
        <v>153</v>
      </c>
      <c r="U9" t="s">
        <v>69</v>
      </c>
      <c r="V9" t="s">
        <v>148</v>
      </c>
      <c r="W9" t="s">
        <v>69</v>
      </c>
      <c r="X9">
        <v>132.119</v>
      </c>
      <c r="Y9" t="s">
        <v>69</v>
      </c>
      <c r="Z9" t="s">
        <v>69</v>
      </c>
      <c r="AA9">
        <v>56</v>
      </c>
      <c r="AB9" t="s">
        <v>155</v>
      </c>
      <c r="AC9" t="s">
        <v>69</v>
      </c>
      <c r="AD9" t="s">
        <v>150</v>
      </c>
      <c r="AE9" t="s">
        <v>69</v>
      </c>
      <c r="AF9">
        <v>105.093</v>
      </c>
      <c r="AG9" t="s">
        <v>69</v>
      </c>
      <c r="AH9" t="s">
        <v>69</v>
      </c>
      <c r="AI9">
        <v>57</v>
      </c>
      <c r="AJ9" t="s">
        <v>146</v>
      </c>
      <c r="AK9" t="s">
        <v>153</v>
      </c>
      <c r="AL9" t="s">
        <v>71</v>
      </c>
      <c r="AM9" t="s">
        <v>153</v>
      </c>
      <c r="AN9">
        <v>115.13200000000001</v>
      </c>
      <c r="AO9" t="s">
        <v>153</v>
      </c>
      <c r="AP9" t="s">
        <v>153</v>
      </c>
      <c r="AQ9">
        <v>58</v>
      </c>
      <c r="AR9" t="s">
        <v>73</v>
      </c>
      <c r="AS9" t="s">
        <v>69</v>
      </c>
      <c r="AT9" t="s">
        <v>71</v>
      </c>
      <c r="AU9" t="s">
        <v>69</v>
      </c>
      <c r="AV9">
        <v>89.093999999999994</v>
      </c>
      <c r="AW9" t="s">
        <v>69</v>
      </c>
      <c r="AX9" t="s">
        <v>69</v>
      </c>
      <c r="AY9">
        <v>59</v>
      </c>
      <c r="AZ9" t="s">
        <v>249</v>
      </c>
      <c r="BA9" t="s">
        <v>69</v>
      </c>
      <c r="BB9" t="s">
        <v>117</v>
      </c>
      <c r="BC9" t="s">
        <v>69</v>
      </c>
      <c r="BD9">
        <v>121.154</v>
      </c>
      <c r="BE9" t="s">
        <v>69</v>
      </c>
      <c r="BF9" t="s">
        <v>69</v>
      </c>
      <c r="BG9">
        <v>90</v>
      </c>
      <c r="BH9" t="s">
        <v>149</v>
      </c>
      <c r="BI9" t="s">
        <v>153</v>
      </c>
      <c r="BJ9" t="s">
        <v>150</v>
      </c>
      <c r="BK9" t="s">
        <v>153</v>
      </c>
      <c r="BL9">
        <v>119.119</v>
      </c>
      <c r="BM9" t="s">
        <v>69</v>
      </c>
      <c r="BN9" t="s">
        <v>69</v>
      </c>
      <c r="BO9">
        <v>91</v>
      </c>
      <c r="BP9" t="s">
        <v>119</v>
      </c>
      <c r="BQ9" t="s">
        <v>69</v>
      </c>
      <c r="BR9" t="s">
        <v>120</v>
      </c>
      <c r="BS9" t="s">
        <v>69</v>
      </c>
      <c r="BT9">
        <v>147.131</v>
      </c>
      <c r="BU9" t="s">
        <v>69</v>
      </c>
      <c r="BV9" t="s">
        <v>69</v>
      </c>
      <c r="BW9">
        <v>93</v>
      </c>
      <c r="BX9" t="s">
        <v>147</v>
      </c>
      <c r="BY9" t="s">
        <v>69</v>
      </c>
      <c r="BZ9" t="s">
        <v>148</v>
      </c>
      <c r="CA9" t="s">
        <v>69</v>
      </c>
      <c r="CB9">
        <v>146.14599999999999</v>
      </c>
      <c r="CC9" t="s">
        <v>69</v>
      </c>
      <c r="CD9" t="s">
        <v>69</v>
      </c>
      <c r="CE9">
        <v>94</v>
      </c>
      <c r="CF9" t="s">
        <v>73</v>
      </c>
      <c r="CG9" t="s">
        <v>69</v>
      </c>
      <c r="CH9" t="s">
        <v>71</v>
      </c>
      <c r="CI9" t="s">
        <v>69</v>
      </c>
      <c r="CJ9">
        <v>89.093999999999994</v>
      </c>
      <c r="CK9" t="s">
        <v>69</v>
      </c>
      <c r="CL9" t="s">
        <v>69</v>
      </c>
      <c r="CM9">
        <v>95</v>
      </c>
      <c r="CN9" t="s">
        <v>73</v>
      </c>
      <c r="CO9" t="s">
        <v>69</v>
      </c>
      <c r="CP9" t="s">
        <v>71</v>
      </c>
      <c r="CQ9" t="s">
        <v>69</v>
      </c>
      <c r="CR9">
        <v>89.093999999999994</v>
      </c>
      <c r="CS9" t="s">
        <v>69</v>
      </c>
      <c r="CT9" t="s">
        <v>69</v>
      </c>
      <c r="CU9">
        <v>97</v>
      </c>
      <c r="CV9" t="s">
        <v>249</v>
      </c>
      <c r="CW9" t="s">
        <v>69</v>
      </c>
      <c r="CX9" t="s">
        <v>117</v>
      </c>
      <c r="CY9" t="s">
        <v>69</v>
      </c>
      <c r="CZ9">
        <v>121.154</v>
      </c>
      <c r="DA9" t="s">
        <v>69</v>
      </c>
      <c r="DB9" t="s">
        <v>69</v>
      </c>
      <c r="DC9">
        <v>98</v>
      </c>
      <c r="DD9" t="s">
        <v>153</v>
      </c>
      <c r="DE9" t="s">
        <v>69</v>
      </c>
      <c r="DF9" t="s">
        <v>148</v>
      </c>
      <c r="DG9" t="s">
        <v>69</v>
      </c>
      <c r="DH9">
        <v>132.119</v>
      </c>
      <c r="DI9" t="s">
        <v>69</v>
      </c>
      <c r="DJ9" t="s">
        <v>69</v>
      </c>
      <c r="DK9">
        <v>111</v>
      </c>
      <c r="DL9" t="s">
        <v>119</v>
      </c>
      <c r="DM9" t="s">
        <v>69</v>
      </c>
      <c r="DN9" t="s">
        <v>120</v>
      </c>
      <c r="DO9" t="s">
        <v>69</v>
      </c>
      <c r="DP9">
        <v>147.131</v>
      </c>
      <c r="DQ9" t="s">
        <v>69</v>
      </c>
      <c r="DR9" t="s">
        <v>69</v>
      </c>
      <c r="DS9">
        <v>112</v>
      </c>
      <c r="DT9" t="s">
        <v>76</v>
      </c>
      <c r="DU9" t="s">
        <v>69</v>
      </c>
      <c r="DV9" t="s">
        <v>75</v>
      </c>
      <c r="DW9" t="s">
        <v>69</v>
      </c>
      <c r="DX9">
        <v>146.18899999999999</v>
      </c>
      <c r="DY9" t="s">
        <v>69</v>
      </c>
      <c r="DZ9" t="s">
        <v>69</v>
      </c>
      <c r="EA9">
        <v>114</v>
      </c>
      <c r="EB9" t="s">
        <v>70</v>
      </c>
      <c r="EC9" t="s">
        <v>153</v>
      </c>
      <c r="ED9" t="s">
        <v>71</v>
      </c>
      <c r="EE9" t="s">
        <v>153</v>
      </c>
      <c r="EF9">
        <v>75.066999999999993</v>
      </c>
      <c r="EG9" t="s">
        <v>153</v>
      </c>
      <c r="EH9" t="s">
        <v>153</v>
      </c>
      <c r="EI9">
        <v>115</v>
      </c>
      <c r="EJ9" t="s">
        <v>155</v>
      </c>
      <c r="EK9" t="s">
        <v>153</v>
      </c>
      <c r="EL9" t="s">
        <v>150</v>
      </c>
      <c r="EM9" t="s">
        <v>153</v>
      </c>
      <c r="EN9">
        <v>105.093</v>
      </c>
      <c r="EO9" t="s">
        <v>153</v>
      </c>
      <c r="EP9" t="s">
        <v>153</v>
      </c>
      <c r="EQ9">
        <v>116</v>
      </c>
      <c r="ER9" t="s">
        <v>156</v>
      </c>
      <c r="ES9" t="s">
        <v>153</v>
      </c>
      <c r="ET9" t="s">
        <v>120</v>
      </c>
      <c r="EU9" t="s">
        <v>153</v>
      </c>
      <c r="EV9">
        <v>133.10400000000001</v>
      </c>
      <c r="EW9" t="s">
        <v>69</v>
      </c>
      <c r="EX9" t="s">
        <v>69</v>
      </c>
      <c r="EY9">
        <v>118</v>
      </c>
      <c r="EZ9" t="s">
        <v>147</v>
      </c>
      <c r="FA9" t="s">
        <v>153</v>
      </c>
      <c r="FB9" t="s">
        <v>148</v>
      </c>
      <c r="FC9" t="s">
        <v>153</v>
      </c>
      <c r="FD9">
        <v>146.14599999999999</v>
      </c>
      <c r="FE9" t="s">
        <v>69</v>
      </c>
      <c r="FF9" t="s">
        <v>69</v>
      </c>
      <c r="FG9">
        <v>122</v>
      </c>
      <c r="FH9" t="s">
        <v>115</v>
      </c>
      <c r="FI9" t="s">
        <v>69</v>
      </c>
      <c r="FJ9" t="s">
        <v>71</v>
      </c>
      <c r="FK9" t="s">
        <v>69</v>
      </c>
      <c r="FL9">
        <v>117.148</v>
      </c>
      <c r="FM9" t="s">
        <v>69</v>
      </c>
      <c r="FN9" t="s">
        <v>69</v>
      </c>
      <c r="FO9">
        <v>126</v>
      </c>
      <c r="FP9" t="s">
        <v>147</v>
      </c>
      <c r="FQ9" t="s">
        <v>153</v>
      </c>
      <c r="FR9" t="s">
        <v>148</v>
      </c>
      <c r="FS9" t="s">
        <v>153</v>
      </c>
      <c r="FT9">
        <v>146.14599999999999</v>
      </c>
      <c r="FU9" t="s">
        <v>69</v>
      </c>
      <c r="FV9" t="s">
        <v>69</v>
      </c>
    </row>
    <row r="10" spans="1:178" x14ac:dyDescent="0.25">
      <c r="A10">
        <v>7</v>
      </c>
      <c r="B10" t="str">
        <f>HYPERLINK("http://www.ncbi.nlm.nih.gov/protein/QWX94034.1","QWX94034.1")</f>
        <v>QWX94034.1</v>
      </c>
      <c r="C10">
        <v>29866</v>
      </c>
      <c r="D10" t="str">
        <f>HYPERLINK("http://www.ncbi.nlm.nih.gov/Taxonomy/Browser/wwwtax.cgi?mode=Info&amp;id=291302&amp;lvl=3&amp;lin=f&amp;keep=1&amp;srchmode=1&amp;unlock","291302")</f>
        <v>291302</v>
      </c>
      <c r="E10" t="s">
        <v>66</v>
      </c>
      <c r="F10" t="str">
        <f>HYPERLINK("http://www.ncbi.nlm.nih.gov/Taxonomy/Browser/wwwtax.cgi?mode=Info&amp;id=291302&amp;lvl=3&amp;lin=f&amp;keep=1&amp;srchmode=1&amp;unlock","Miniopterus natalensis")</f>
        <v>Miniopterus natalensis</v>
      </c>
      <c r="G10" t="s">
        <v>256</v>
      </c>
      <c r="H10" t="str">
        <f>HYPERLINK("http://www.ncbi.nlm.nih.gov/protein/QWX94034.1","BST-2")</f>
        <v>BST-2</v>
      </c>
      <c r="I10" t="s">
        <v>251</v>
      </c>
      <c r="J10" t="s">
        <v>153</v>
      </c>
      <c r="K10">
        <v>51</v>
      </c>
      <c r="L10" t="s">
        <v>72</v>
      </c>
      <c r="M10" t="s">
        <v>153</v>
      </c>
      <c r="N10" t="s">
        <v>71</v>
      </c>
      <c r="O10" t="s">
        <v>69</v>
      </c>
      <c r="P10">
        <v>131.17500000000001</v>
      </c>
      <c r="Q10" t="s">
        <v>153</v>
      </c>
      <c r="R10" t="s">
        <v>69</v>
      </c>
      <c r="S10">
        <v>52</v>
      </c>
      <c r="T10" t="s">
        <v>153</v>
      </c>
      <c r="U10" t="s">
        <v>69</v>
      </c>
      <c r="V10" t="s">
        <v>148</v>
      </c>
      <c r="W10" t="s">
        <v>69</v>
      </c>
      <c r="X10">
        <v>132.119</v>
      </c>
      <c r="Y10" t="s">
        <v>69</v>
      </c>
      <c r="Z10" t="s">
        <v>69</v>
      </c>
      <c r="AA10">
        <v>53</v>
      </c>
      <c r="AB10" t="s">
        <v>155</v>
      </c>
      <c r="AC10" t="s">
        <v>69</v>
      </c>
      <c r="AD10" t="s">
        <v>150</v>
      </c>
      <c r="AE10" t="s">
        <v>69</v>
      </c>
      <c r="AF10">
        <v>105.093</v>
      </c>
      <c r="AG10" t="s">
        <v>69</v>
      </c>
      <c r="AH10" t="s">
        <v>69</v>
      </c>
      <c r="AI10">
        <v>54</v>
      </c>
      <c r="AJ10" t="s">
        <v>145</v>
      </c>
      <c r="AK10" t="s">
        <v>153</v>
      </c>
      <c r="AL10" t="s">
        <v>71</v>
      </c>
      <c r="AM10" t="s">
        <v>153</v>
      </c>
      <c r="AN10">
        <v>131.17500000000001</v>
      </c>
      <c r="AO10" t="s">
        <v>69</v>
      </c>
      <c r="AP10" t="s">
        <v>69</v>
      </c>
      <c r="AQ10">
        <v>55</v>
      </c>
      <c r="AR10" t="s">
        <v>149</v>
      </c>
      <c r="AS10" t="s">
        <v>153</v>
      </c>
      <c r="AT10" t="s">
        <v>150</v>
      </c>
      <c r="AU10" t="s">
        <v>153</v>
      </c>
      <c r="AV10">
        <v>119.119</v>
      </c>
      <c r="AW10" t="s">
        <v>153</v>
      </c>
      <c r="AX10" t="s">
        <v>153</v>
      </c>
      <c r="AY10">
        <v>56</v>
      </c>
      <c r="AZ10" t="s">
        <v>249</v>
      </c>
      <c r="BA10" t="s">
        <v>69</v>
      </c>
      <c r="BB10" t="s">
        <v>117</v>
      </c>
      <c r="BC10" t="s">
        <v>69</v>
      </c>
      <c r="BD10">
        <v>121.154</v>
      </c>
      <c r="BE10" t="s">
        <v>69</v>
      </c>
      <c r="BF10" t="s">
        <v>69</v>
      </c>
      <c r="BG10">
        <v>86</v>
      </c>
      <c r="BH10" t="s">
        <v>149</v>
      </c>
      <c r="BI10" t="s">
        <v>153</v>
      </c>
      <c r="BJ10" t="s">
        <v>150</v>
      </c>
      <c r="BK10" t="s">
        <v>153</v>
      </c>
      <c r="BL10">
        <v>119.119</v>
      </c>
      <c r="BM10" t="s">
        <v>69</v>
      </c>
      <c r="BN10" t="s">
        <v>69</v>
      </c>
      <c r="BO10">
        <v>87</v>
      </c>
      <c r="BP10" t="s">
        <v>153</v>
      </c>
      <c r="BQ10" t="s">
        <v>153</v>
      </c>
      <c r="BR10" t="s">
        <v>148</v>
      </c>
      <c r="BS10" t="s">
        <v>153</v>
      </c>
      <c r="BT10">
        <v>132.119</v>
      </c>
      <c r="BU10" t="s">
        <v>69</v>
      </c>
      <c r="BV10" t="s">
        <v>69</v>
      </c>
      <c r="BW10" t="s">
        <v>159</v>
      </c>
      <c r="BX10" t="s">
        <v>159</v>
      </c>
      <c r="BY10" t="s">
        <v>153</v>
      </c>
      <c r="BZ10" t="s">
        <v>159</v>
      </c>
      <c r="CA10" t="s">
        <v>153</v>
      </c>
      <c r="CB10" t="s">
        <v>159</v>
      </c>
      <c r="CC10" t="s">
        <v>153</v>
      </c>
      <c r="CD10" t="s">
        <v>153</v>
      </c>
      <c r="CE10" t="s">
        <v>159</v>
      </c>
      <c r="CF10" t="s">
        <v>159</v>
      </c>
      <c r="CG10" t="s">
        <v>153</v>
      </c>
      <c r="CH10" t="s">
        <v>159</v>
      </c>
      <c r="CI10" t="s">
        <v>153</v>
      </c>
      <c r="CJ10" t="s">
        <v>159</v>
      </c>
      <c r="CK10" t="s">
        <v>153</v>
      </c>
      <c r="CL10" t="s">
        <v>153</v>
      </c>
      <c r="CM10">
        <v>88</v>
      </c>
      <c r="CN10" t="s">
        <v>73</v>
      </c>
      <c r="CO10" t="s">
        <v>69</v>
      </c>
      <c r="CP10" t="s">
        <v>71</v>
      </c>
      <c r="CQ10" t="s">
        <v>69</v>
      </c>
      <c r="CR10">
        <v>89.093999999999994</v>
      </c>
      <c r="CS10" t="s">
        <v>69</v>
      </c>
      <c r="CT10" t="s">
        <v>69</v>
      </c>
      <c r="CU10">
        <v>90</v>
      </c>
      <c r="CV10" t="s">
        <v>249</v>
      </c>
      <c r="CW10" t="s">
        <v>69</v>
      </c>
      <c r="CX10" t="s">
        <v>117</v>
      </c>
      <c r="CY10" t="s">
        <v>69</v>
      </c>
      <c r="CZ10">
        <v>121.154</v>
      </c>
      <c r="DA10" t="s">
        <v>69</v>
      </c>
      <c r="DB10" t="s">
        <v>69</v>
      </c>
      <c r="DC10">
        <v>91</v>
      </c>
      <c r="DD10" t="s">
        <v>153</v>
      </c>
      <c r="DE10" t="s">
        <v>69</v>
      </c>
      <c r="DF10" t="s">
        <v>148</v>
      </c>
      <c r="DG10" t="s">
        <v>69</v>
      </c>
      <c r="DH10">
        <v>132.119</v>
      </c>
      <c r="DI10" t="s">
        <v>69</v>
      </c>
      <c r="DJ10" t="s">
        <v>69</v>
      </c>
      <c r="DK10">
        <v>104</v>
      </c>
      <c r="DL10" t="s">
        <v>119</v>
      </c>
      <c r="DM10" t="s">
        <v>69</v>
      </c>
      <c r="DN10" t="s">
        <v>120</v>
      </c>
      <c r="DO10" t="s">
        <v>69</v>
      </c>
      <c r="DP10">
        <v>147.131</v>
      </c>
      <c r="DQ10" t="s">
        <v>69</v>
      </c>
      <c r="DR10" t="s">
        <v>69</v>
      </c>
      <c r="DS10">
        <v>105</v>
      </c>
      <c r="DT10" t="s">
        <v>147</v>
      </c>
      <c r="DU10" t="s">
        <v>153</v>
      </c>
      <c r="DV10" t="s">
        <v>148</v>
      </c>
      <c r="DW10" t="s">
        <v>153</v>
      </c>
      <c r="DX10">
        <v>146.14599999999999</v>
      </c>
      <c r="DY10" t="s">
        <v>69</v>
      </c>
      <c r="DZ10" t="s">
        <v>69</v>
      </c>
      <c r="EA10">
        <v>107</v>
      </c>
      <c r="EB10" t="s">
        <v>147</v>
      </c>
      <c r="EC10" t="s">
        <v>69</v>
      </c>
      <c r="ED10" t="s">
        <v>148</v>
      </c>
      <c r="EE10" t="s">
        <v>69</v>
      </c>
      <c r="EF10">
        <v>146.14599999999999</v>
      </c>
      <c r="EG10" t="s">
        <v>69</v>
      </c>
      <c r="EH10" t="s">
        <v>69</v>
      </c>
      <c r="EI10">
        <v>108</v>
      </c>
      <c r="EJ10" t="s">
        <v>70</v>
      </c>
      <c r="EK10" t="s">
        <v>69</v>
      </c>
      <c r="EL10" t="s">
        <v>71</v>
      </c>
      <c r="EM10" t="s">
        <v>69</v>
      </c>
      <c r="EN10">
        <v>75.066999999999993</v>
      </c>
      <c r="EO10" t="s">
        <v>69</v>
      </c>
      <c r="EP10" t="s">
        <v>69</v>
      </c>
      <c r="EQ10">
        <v>109</v>
      </c>
      <c r="ER10" t="s">
        <v>157</v>
      </c>
      <c r="ES10" t="s">
        <v>153</v>
      </c>
      <c r="ET10" t="s">
        <v>75</v>
      </c>
      <c r="EU10" t="s">
        <v>153</v>
      </c>
      <c r="EV10">
        <v>155.15600000000001</v>
      </c>
      <c r="EW10" t="s">
        <v>69</v>
      </c>
      <c r="EX10" t="s">
        <v>69</v>
      </c>
      <c r="EY10">
        <v>111</v>
      </c>
      <c r="EZ10" t="s">
        <v>147</v>
      </c>
      <c r="FA10" t="s">
        <v>153</v>
      </c>
      <c r="FB10" t="s">
        <v>148</v>
      </c>
      <c r="FC10" t="s">
        <v>153</v>
      </c>
      <c r="FD10">
        <v>146.14599999999999</v>
      </c>
      <c r="FE10" t="s">
        <v>69</v>
      </c>
      <c r="FF10" t="s">
        <v>69</v>
      </c>
      <c r="FG10">
        <v>115</v>
      </c>
      <c r="FH10" t="s">
        <v>115</v>
      </c>
      <c r="FI10" t="s">
        <v>69</v>
      </c>
      <c r="FJ10" t="s">
        <v>71</v>
      </c>
      <c r="FK10" t="s">
        <v>69</v>
      </c>
      <c r="FL10">
        <v>117.148</v>
      </c>
      <c r="FM10" t="s">
        <v>69</v>
      </c>
      <c r="FN10" t="s">
        <v>69</v>
      </c>
      <c r="FO10">
        <v>119</v>
      </c>
      <c r="FP10" t="s">
        <v>147</v>
      </c>
      <c r="FQ10" t="s">
        <v>153</v>
      </c>
      <c r="FR10" t="s">
        <v>148</v>
      </c>
      <c r="FS10" t="s">
        <v>153</v>
      </c>
      <c r="FT10">
        <v>146.14599999999999</v>
      </c>
      <c r="FU10" t="s">
        <v>69</v>
      </c>
      <c r="FV10" t="s">
        <v>69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V10"/>
  <sheetViews>
    <sheetView workbookViewId="0"/>
  </sheetViews>
  <sheetFormatPr defaultRowHeight="15" x14ac:dyDescent="0.25"/>
  <sheetData>
    <row r="1" spans="1:17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c r="DK1" t="s">
        <v>184</v>
      </c>
      <c r="DL1" t="s">
        <v>185</v>
      </c>
      <c r="DM1" t="s">
        <v>186</v>
      </c>
      <c r="DN1" t="s">
        <v>187</v>
      </c>
      <c r="DO1" t="s">
        <v>188</v>
      </c>
      <c r="DP1" t="s">
        <v>189</v>
      </c>
      <c r="DQ1" t="s">
        <v>190</v>
      </c>
      <c r="DR1" t="s">
        <v>191</v>
      </c>
      <c r="DS1" t="s">
        <v>192</v>
      </c>
      <c r="DT1" t="s">
        <v>193</v>
      </c>
      <c r="DU1" t="s">
        <v>194</v>
      </c>
      <c r="DV1" t="s">
        <v>195</v>
      </c>
      <c r="DW1" t="s">
        <v>196</v>
      </c>
      <c r="DX1" t="s">
        <v>197</v>
      </c>
      <c r="DY1" t="s">
        <v>198</v>
      </c>
      <c r="DZ1" t="s">
        <v>199</v>
      </c>
      <c r="EA1" t="s">
        <v>200</v>
      </c>
      <c r="EB1" t="s">
        <v>201</v>
      </c>
      <c r="EC1" t="s">
        <v>202</v>
      </c>
      <c r="ED1" t="s">
        <v>203</v>
      </c>
      <c r="EE1" t="s">
        <v>204</v>
      </c>
      <c r="EF1" t="s">
        <v>205</v>
      </c>
      <c r="EG1" t="s">
        <v>206</v>
      </c>
      <c r="EH1" t="s">
        <v>207</v>
      </c>
      <c r="EI1" t="s">
        <v>208</v>
      </c>
      <c r="EJ1" t="s">
        <v>209</v>
      </c>
      <c r="EK1" t="s">
        <v>210</v>
      </c>
      <c r="EL1" t="s">
        <v>211</v>
      </c>
      <c r="EM1" t="s">
        <v>212</v>
      </c>
      <c r="EN1" t="s">
        <v>213</v>
      </c>
      <c r="EO1" t="s">
        <v>214</v>
      </c>
      <c r="EP1" t="s">
        <v>215</v>
      </c>
      <c r="EQ1" t="s">
        <v>216</v>
      </c>
      <c r="ER1" t="s">
        <v>217</v>
      </c>
      <c r="ES1" t="s">
        <v>218</v>
      </c>
      <c r="ET1" t="s">
        <v>219</v>
      </c>
      <c r="EU1" t="s">
        <v>220</v>
      </c>
      <c r="EV1" t="s">
        <v>221</v>
      </c>
      <c r="EW1" t="s">
        <v>222</v>
      </c>
      <c r="EX1" t="s">
        <v>223</v>
      </c>
      <c r="EY1" t="s">
        <v>224</v>
      </c>
      <c r="EZ1" t="s">
        <v>225</v>
      </c>
      <c r="FA1" t="s">
        <v>226</v>
      </c>
      <c r="FB1" t="s">
        <v>227</v>
      </c>
      <c r="FC1" t="s">
        <v>228</v>
      </c>
      <c r="FD1" t="s">
        <v>229</v>
      </c>
      <c r="FE1" t="s">
        <v>230</v>
      </c>
      <c r="FF1" t="s">
        <v>231</v>
      </c>
      <c r="FG1" t="s">
        <v>232</v>
      </c>
      <c r="FH1" t="s">
        <v>233</v>
      </c>
      <c r="FI1" t="s">
        <v>234</v>
      </c>
      <c r="FJ1" t="s">
        <v>235</v>
      </c>
      <c r="FK1" t="s">
        <v>236</v>
      </c>
      <c r="FL1" t="s">
        <v>237</v>
      </c>
      <c r="FM1" t="s">
        <v>238</v>
      </c>
      <c r="FN1" t="s">
        <v>239</v>
      </c>
      <c r="FO1" t="s">
        <v>240</v>
      </c>
      <c r="FP1" t="s">
        <v>241</v>
      </c>
      <c r="FQ1" t="s">
        <v>242</v>
      </c>
      <c r="FR1" t="s">
        <v>243</v>
      </c>
      <c r="FS1" t="s">
        <v>244</v>
      </c>
      <c r="FT1" t="s">
        <v>245</v>
      </c>
      <c r="FU1" t="s">
        <v>246</v>
      </c>
      <c r="FV1" t="s">
        <v>247</v>
      </c>
    </row>
    <row r="2" spans="1:178" x14ac:dyDescent="0.25">
      <c r="A2">
        <v>7</v>
      </c>
      <c r="B2" t="str">
        <f>HYPERLINK("http://www.ncbi.nlm.nih.gov/protein/NP_004326.1","NP_004326.1")</f>
        <v>NP_004326.1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HYPERLINK("http://www.ncbi.nlm.nih.gov/protein/NP_004326.1","bone marrow stromal antigen 2 precursor")</f>
        <v>bone marrow stromal antigen 2 precursor</v>
      </c>
      <c r="I2" t="s">
        <v>251</v>
      </c>
      <c r="J2" t="s">
        <v>69</v>
      </c>
      <c r="K2">
        <v>48</v>
      </c>
      <c r="L2" t="s">
        <v>73</v>
      </c>
      <c r="M2" t="s">
        <v>69</v>
      </c>
      <c r="N2" t="s">
        <v>71</v>
      </c>
      <c r="O2" t="s">
        <v>69</v>
      </c>
      <c r="P2">
        <v>89.093999999999994</v>
      </c>
      <c r="Q2" t="s">
        <v>69</v>
      </c>
      <c r="R2" t="s">
        <v>69</v>
      </c>
      <c r="S2">
        <v>49</v>
      </c>
      <c r="T2" t="s">
        <v>153</v>
      </c>
      <c r="U2" t="s">
        <v>69</v>
      </c>
      <c r="V2" t="s">
        <v>148</v>
      </c>
      <c r="W2" t="s">
        <v>69</v>
      </c>
      <c r="X2">
        <v>132.119</v>
      </c>
      <c r="Y2" t="s">
        <v>69</v>
      </c>
      <c r="Z2" t="s">
        <v>69</v>
      </c>
      <c r="AA2">
        <v>50</v>
      </c>
      <c r="AB2" t="s">
        <v>155</v>
      </c>
      <c r="AC2" t="s">
        <v>69</v>
      </c>
      <c r="AD2" t="s">
        <v>150</v>
      </c>
      <c r="AE2" t="s">
        <v>69</v>
      </c>
      <c r="AF2">
        <v>105.093</v>
      </c>
      <c r="AG2" t="s">
        <v>69</v>
      </c>
      <c r="AH2" t="s">
        <v>69</v>
      </c>
      <c r="AI2">
        <v>51</v>
      </c>
      <c r="AJ2" t="s">
        <v>119</v>
      </c>
      <c r="AK2" t="s">
        <v>69</v>
      </c>
      <c r="AL2" t="s">
        <v>120</v>
      </c>
      <c r="AM2" t="s">
        <v>69</v>
      </c>
      <c r="AN2">
        <v>147.131</v>
      </c>
      <c r="AO2" t="s">
        <v>69</v>
      </c>
      <c r="AP2" t="s">
        <v>69</v>
      </c>
      <c r="AQ2">
        <v>52</v>
      </c>
      <c r="AR2" t="s">
        <v>73</v>
      </c>
      <c r="AS2" t="s">
        <v>69</v>
      </c>
      <c r="AT2" t="s">
        <v>71</v>
      </c>
      <c r="AU2" t="s">
        <v>69</v>
      </c>
      <c r="AV2">
        <v>89.093999999999994</v>
      </c>
      <c r="AW2" t="s">
        <v>69</v>
      </c>
      <c r="AX2" t="s">
        <v>69</v>
      </c>
      <c r="AY2">
        <v>53</v>
      </c>
      <c r="AZ2" t="s">
        <v>249</v>
      </c>
      <c r="BA2" t="s">
        <v>69</v>
      </c>
      <c r="BB2" t="s">
        <v>117</v>
      </c>
      <c r="BC2" t="s">
        <v>69</v>
      </c>
      <c r="BD2">
        <v>121.154</v>
      </c>
      <c r="BE2" t="s">
        <v>69</v>
      </c>
      <c r="BF2" t="s">
        <v>69</v>
      </c>
      <c r="BG2">
        <v>84</v>
      </c>
      <c r="BH2" t="s">
        <v>115</v>
      </c>
      <c r="BI2" t="s">
        <v>69</v>
      </c>
      <c r="BJ2" t="s">
        <v>71</v>
      </c>
      <c r="BK2" t="s">
        <v>69</v>
      </c>
      <c r="BL2">
        <v>117.148</v>
      </c>
      <c r="BM2" t="s">
        <v>69</v>
      </c>
      <c r="BN2" t="s">
        <v>69</v>
      </c>
      <c r="BO2">
        <v>85</v>
      </c>
      <c r="BP2" t="s">
        <v>119</v>
      </c>
      <c r="BQ2" t="s">
        <v>69</v>
      </c>
      <c r="BR2" t="s">
        <v>120</v>
      </c>
      <c r="BS2" t="s">
        <v>69</v>
      </c>
      <c r="BT2">
        <v>147.131</v>
      </c>
      <c r="BU2" t="s">
        <v>69</v>
      </c>
      <c r="BV2" t="s">
        <v>69</v>
      </c>
      <c r="BW2">
        <v>87</v>
      </c>
      <c r="BX2" t="s">
        <v>147</v>
      </c>
      <c r="BY2" t="s">
        <v>69</v>
      </c>
      <c r="BZ2" t="s">
        <v>148</v>
      </c>
      <c r="CA2" t="s">
        <v>69</v>
      </c>
      <c r="CB2">
        <v>146.14599999999999</v>
      </c>
      <c r="CC2" t="s">
        <v>69</v>
      </c>
      <c r="CD2" t="s">
        <v>69</v>
      </c>
      <c r="CE2">
        <v>88</v>
      </c>
      <c r="CF2" t="s">
        <v>73</v>
      </c>
      <c r="CG2" t="s">
        <v>69</v>
      </c>
      <c r="CH2" t="s">
        <v>71</v>
      </c>
      <c r="CI2" t="s">
        <v>69</v>
      </c>
      <c r="CJ2">
        <v>89.093999999999994</v>
      </c>
      <c r="CK2" t="s">
        <v>69</v>
      </c>
      <c r="CL2" t="s">
        <v>69</v>
      </c>
      <c r="CM2">
        <v>89</v>
      </c>
      <c r="CN2" t="s">
        <v>73</v>
      </c>
      <c r="CO2" t="s">
        <v>69</v>
      </c>
      <c r="CP2" t="s">
        <v>71</v>
      </c>
      <c r="CQ2" t="s">
        <v>69</v>
      </c>
      <c r="CR2">
        <v>89.093999999999994</v>
      </c>
      <c r="CS2" t="s">
        <v>69</v>
      </c>
      <c r="CT2" t="s">
        <v>69</v>
      </c>
      <c r="CU2">
        <v>91</v>
      </c>
      <c r="CV2" t="s">
        <v>249</v>
      </c>
      <c r="CW2" t="s">
        <v>69</v>
      </c>
      <c r="CX2" t="s">
        <v>117</v>
      </c>
      <c r="CY2" t="s">
        <v>69</v>
      </c>
      <c r="CZ2">
        <v>121.154</v>
      </c>
      <c r="DA2" t="s">
        <v>69</v>
      </c>
      <c r="DB2" t="s">
        <v>69</v>
      </c>
      <c r="DC2">
        <v>92</v>
      </c>
      <c r="DD2" t="s">
        <v>153</v>
      </c>
      <c r="DE2" t="s">
        <v>69</v>
      </c>
      <c r="DF2" t="s">
        <v>148</v>
      </c>
      <c r="DG2" t="s">
        <v>69</v>
      </c>
      <c r="DH2">
        <v>132.119</v>
      </c>
      <c r="DI2" t="s">
        <v>69</v>
      </c>
      <c r="DJ2" t="s">
        <v>69</v>
      </c>
      <c r="DK2">
        <v>105</v>
      </c>
      <c r="DL2" t="s">
        <v>119</v>
      </c>
      <c r="DM2" t="s">
        <v>69</v>
      </c>
      <c r="DN2" t="s">
        <v>120</v>
      </c>
      <c r="DO2" t="s">
        <v>69</v>
      </c>
      <c r="DP2">
        <v>147.131</v>
      </c>
      <c r="DQ2" t="s">
        <v>69</v>
      </c>
      <c r="DR2" t="s">
        <v>69</v>
      </c>
      <c r="DS2">
        <v>106</v>
      </c>
      <c r="DT2" t="s">
        <v>76</v>
      </c>
      <c r="DU2" t="s">
        <v>69</v>
      </c>
      <c r="DV2" t="s">
        <v>75</v>
      </c>
      <c r="DW2" t="s">
        <v>69</v>
      </c>
      <c r="DX2">
        <v>146.18899999999999</v>
      </c>
      <c r="DY2" t="s">
        <v>69</v>
      </c>
      <c r="DZ2" t="s">
        <v>69</v>
      </c>
      <c r="EA2">
        <v>108</v>
      </c>
      <c r="EB2" t="s">
        <v>147</v>
      </c>
      <c r="EC2" t="s">
        <v>69</v>
      </c>
      <c r="ED2" t="s">
        <v>148</v>
      </c>
      <c r="EE2" t="s">
        <v>69</v>
      </c>
      <c r="EF2">
        <v>146.14599999999999</v>
      </c>
      <c r="EG2" t="s">
        <v>69</v>
      </c>
      <c r="EH2" t="s">
        <v>69</v>
      </c>
      <c r="EI2">
        <v>109</v>
      </c>
      <c r="EJ2" t="s">
        <v>70</v>
      </c>
      <c r="EK2" t="s">
        <v>69</v>
      </c>
      <c r="EL2" t="s">
        <v>71</v>
      </c>
      <c r="EM2" t="s">
        <v>69</v>
      </c>
      <c r="EN2">
        <v>75.066999999999993</v>
      </c>
      <c r="EO2" t="s">
        <v>69</v>
      </c>
      <c r="EP2" t="s">
        <v>69</v>
      </c>
      <c r="EQ2">
        <v>110</v>
      </c>
      <c r="ER2" t="s">
        <v>147</v>
      </c>
      <c r="ES2" t="s">
        <v>69</v>
      </c>
      <c r="ET2" t="s">
        <v>148</v>
      </c>
      <c r="EU2" t="s">
        <v>69</v>
      </c>
      <c r="EV2">
        <v>146.14599999999999</v>
      </c>
      <c r="EW2" t="s">
        <v>69</v>
      </c>
      <c r="EX2" t="s">
        <v>69</v>
      </c>
      <c r="EY2">
        <v>112</v>
      </c>
      <c r="EZ2" t="s">
        <v>76</v>
      </c>
      <c r="FA2" t="s">
        <v>69</v>
      </c>
      <c r="FB2" t="s">
        <v>75</v>
      </c>
      <c r="FC2" t="s">
        <v>69</v>
      </c>
      <c r="FD2">
        <v>146.18899999999999</v>
      </c>
      <c r="FE2" t="s">
        <v>69</v>
      </c>
      <c r="FF2" t="s">
        <v>69</v>
      </c>
      <c r="FG2">
        <v>113</v>
      </c>
      <c r="FH2" t="s">
        <v>115</v>
      </c>
      <c r="FI2" t="s">
        <v>69</v>
      </c>
      <c r="FJ2" t="s">
        <v>71</v>
      </c>
      <c r="FK2" t="s">
        <v>69</v>
      </c>
      <c r="FL2">
        <v>117.148</v>
      </c>
      <c r="FM2" t="s">
        <v>69</v>
      </c>
      <c r="FN2" t="s">
        <v>69</v>
      </c>
      <c r="FO2">
        <v>117</v>
      </c>
      <c r="FP2" t="s">
        <v>119</v>
      </c>
      <c r="FQ2" t="s">
        <v>69</v>
      </c>
      <c r="FR2" t="s">
        <v>120</v>
      </c>
      <c r="FS2" t="s">
        <v>69</v>
      </c>
      <c r="FT2">
        <v>147.131</v>
      </c>
      <c r="FU2" t="s">
        <v>69</v>
      </c>
      <c r="FV2" t="s">
        <v>69</v>
      </c>
    </row>
    <row r="3" spans="1:178" x14ac:dyDescent="0.25">
      <c r="A3">
        <v>7</v>
      </c>
      <c r="B3" t="str">
        <f>HYPERLINK("http://www.ncbi.nlm.nih.gov/protein/XP_032989378.1","XP_032989378.1")</f>
        <v>XP_032989378.1</v>
      </c>
      <c r="C3">
        <v>90522</v>
      </c>
      <c r="D3" t="str">
        <f>HYPERLINK("http://www.ncbi.nlm.nih.gov/Taxonomy/Browser/wwwtax.cgi?mode=Info&amp;id=59479&amp;lvl=3&amp;lin=f&amp;keep=1&amp;srchmode=1&amp;unlock","59479")</f>
        <v>59479</v>
      </c>
      <c r="E3" t="s">
        <v>66</v>
      </c>
      <c r="F3" t="str">
        <f>HYPERLINK("http://www.ncbi.nlm.nih.gov/Taxonomy/Browser/wwwtax.cgi?mode=Info&amp;id=59479&amp;lvl=3&amp;lin=f&amp;keep=1&amp;srchmode=1&amp;unlock","Rhinolophus ferrumequinum")</f>
        <v>Rhinolophus ferrumequinum</v>
      </c>
      <c r="G3" t="s">
        <v>252</v>
      </c>
      <c r="H3" t="str">
        <f>HYPERLINK("http://www.ncbi.nlm.nih.gov/protein/XP_032989378.1","bone marrow stromal antigen 2")</f>
        <v>bone marrow stromal antigen 2</v>
      </c>
      <c r="I3" t="s">
        <v>251</v>
      </c>
      <c r="J3" t="s">
        <v>153</v>
      </c>
      <c r="K3">
        <v>52</v>
      </c>
      <c r="L3" t="s">
        <v>73</v>
      </c>
      <c r="M3" t="s">
        <v>69</v>
      </c>
      <c r="N3" t="s">
        <v>71</v>
      </c>
      <c r="O3" t="s">
        <v>69</v>
      </c>
      <c r="P3">
        <v>89.093999999999994</v>
      </c>
      <c r="Q3" t="s">
        <v>69</v>
      </c>
      <c r="R3" t="s">
        <v>69</v>
      </c>
      <c r="S3">
        <v>53</v>
      </c>
      <c r="T3" t="s">
        <v>153</v>
      </c>
      <c r="U3" t="s">
        <v>69</v>
      </c>
      <c r="V3" t="s">
        <v>148</v>
      </c>
      <c r="W3" t="s">
        <v>69</v>
      </c>
      <c r="X3">
        <v>132.119</v>
      </c>
      <c r="Y3" t="s">
        <v>69</v>
      </c>
      <c r="Z3" t="s">
        <v>69</v>
      </c>
      <c r="AA3">
        <v>54</v>
      </c>
      <c r="AB3" t="s">
        <v>74</v>
      </c>
      <c r="AC3" t="s">
        <v>153</v>
      </c>
      <c r="AD3" t="s">
        <v>75</v>
      </c>
      <c r="AE3" t="s">
        <v>153</v>
      </c>
      <c r="AF3">
        <v>174.203</v>
      </c>
      <c r="AG3" t="s">
        <v>153</v>
      </c>
      <c r="AH3" t="s">
        <v>153</v>
      </c>
      <c r="AI3">
        <v>55</v>
      </c>
      <c r="AJ3" t="s">
        <v>119</v>
      </c>
      <c r="AK3" t="s">
        <v>69</v>
      </c>
      <c r="AL3" t="s">
        <v>120</v>
      </c>
      <c r="AM3" t="s">
        <v>69</v>
      </c>
      <c r="AN3">
        <v>147.131</v>
      </c>
      <c r="AO3" t="s">
        <v>69</v>
      </c>
      <c r="AP3" t="s">
        <v>69</v>
      </c>
      <c r="AQ3">
        <v>56</v>
      </c>
      <c r="AR3" t="s">
        <v>155</v>
      </c>
      <c r="AS3" t="s">
        <v>153</v>
      </c>
      <c r="AT3" t="s">
        <v>150</v>
      </c>
      <c r="AU3" t="s">
        <v>153</v>
      </c>
      <c r="AV3">
        <v>105.093</v>
      </c>
      <c r="AW3" t="s">
        <v>69</v>
      </c>
      <c r="AX3" t="s">
        <v>69</v>
      </c>
      <c r="AY3">
        <v>57</v>
      </c>
      <c r="AZ3" t="s">
        <v>249</v>
      </c>
      <c r="BA3" t="s">
        <v>69</v>
      </c>
      <c r="BB3" t="s">
        <v>117</v>
      </c>
      <c r="BC3" t="s">
        <v>69</v>
      </c>
      <c r="BD3">
        <v>121.154</v>
      </c>
      <c r="BE3" t="s">
        <v>69</v>
      </c>
      <c r="BF3" t="s">
        <v>69</v>
      </c>
      <c r="BG3">
        <v>88</v>
      </c>
      <c r="BH3" t="s">
        <v>116</v>
      </c>
      <c r="BI3" t="s">
        <v>153</v>
      </c>
      <c r="BJ3" t="s">
        <v>117</v>
      </c>
      <c r="BK3" t="s">
        <v>153</v>
      </c>
      <c r="BL3">
        <v>149.208</v>
      </c>
      <c r="BM3" t="s">
        <v>153</v>
      </c>
      <c r="BN3" t="s">
        <v>153</v>
      </c>
      <c r="BO3">
        <v>89</v>
      </c>
      <c r="BP3" t="s">
        <v>76</v>
      </c>
      <c r="BQ3" t="s">
        <v>153</v>
      </c>
      <c r="BR3" t="s">
        <v>75</v>
      </c>
      <c r="BS3" t="s">
        <v>153</v>
      </c>
      <c r="BT3">
        <v>146.18899999999999</v>
      </c>
      <c r="BU3" t="s">
        <v>69</v>
      </c>
      <c r="BV3" t="s">
        <v>69</v>
      </c>
      <c r="BW3">
        <v>91</v>
      </c>
      <c r="BX3" t="s">
        <v>147</v>
      </c>
      <c r="BY3" t="s">
        <v>69</v>
      </c>
      <c r="BZ3" t="s">
        <v>148</v>
      </c>
      <c r="CA3" t="s">
        <v>69</v>
      </c>
      <c r="CB3">
        <v>146.14599999999999</v>
      </c>
      <c r="CC3" t="s">
        <v>69</v>
      </c>
      <c r="CD3" t="s">
        <v>69</v>
      </c>
      <c r="CE3">
        <v>92</v>
      </c>
      <c r="CF3" t="s">
        <v>149</v>
      </c>
      <c r="CG3" t="s">
        <v>153</v>
      </c>
      <c r="CH3" t="s">
        <v>150</v>
      </c>
      <c r="CI3" t="s">
        <v>153</v>
      </c>
      <c r="CJ3">
        <v>119.119</v>
      </c>
      <c r="CK3" t="s">
        <v>153</v>
      </c>
      <c r="CL3" t="s">
        <v>153</v>
      </c>
      <c r="CM3">
        <v>93</v>
      </c>
      <c r="CN3" t="s">
        <v>73</v>
      </c>
      <c r="CO3" t="s">
        <v>69</v>
      </c>
      <c r="CP3" t="s">
        <v>71</v>
      </c>
      <c r="CQ3" t="s">
        <v>69</v>
      </c>
      <c r="CR3">
        <v>89.093999999999994</v>
      </c>
      <c r="CS3" t="s">
        <v>69</v>
      </c>
      <c r="CT3" t="s">
        <v>69</v>
      </c>
      <c r="CU3">
        <v>95</v>
      </c>
      <c r="CV3" t="s">
        <v>249</v>
      </c>
      <c r="CW3" t="s">
        <v>69</v>
      </c>
      <c r="CX3" t="s">
        <v>117</v>
      </c>
      <c r="CY3" t="s">
        <v>69</v>
      </c>
      <c r="CZ3">
        <v>121.154</v>
      </c>
      <c r="DA3" t="s">
        <v>69</v>
      </c>
      <c r="DB3" t="s">
        <v>69</v>
      </c>
      <c r="DC3">
        <v>96</v>
      </c>
      <c r="DD3" t="s">
        <v>153</v>
      </c>
      <c r="DE3" t="s">
        <v>69</v>
      </c>
      <c r="DF3" t="s">
        <v>148</v>
      </c>
      <c r="DG3" t="s">
        <v>69</v>
      </c>
      <c r="DH3">
        <v>132.119</v>
      </c>
      <c r="DI3" t="s">
        <v>69</v>
      </c>
      <c r="DJ3" t="s">
        <v>69</v>
      </c>
      <c r="DK3">
        <v>109</v>
      </c>
      <c r="DL3" t="s">
        <v>119</v>
      </c>
      <c r="DM3" t="s">
        <v>69</v>
      </c>
      <c r="DN3" t="s">
        <v>120</v>
      </c>
      <c r="DO3" t="s">
        <v>69</v>
      </c>
      <c r="DP3">
        <v>147.131</v>
      </c>
      <c r="DQ3" t="s">
        <v>69</v>
      </c>
      <c r="DR3" t="s">
        <v>69</v>
      </c>
      <c r="DS3">
        <v>110</v>
      </c>
      <c r="DT3" t="s">
        <v>76</v>
      </c>
      <c r="DU3" t="s">
        <v>69</v>
      </c>
      <c r="DV3" t="s">
        <v>75</v>
      </c>
      <c r="DW3" t="s">
        <v>69</v>
      </c>
      <c r="DX3">
        <v>146.18899999999999</v>
      </c>
      <c r="DY3" t="s">
        <v>69</v>
      </c>
      <c r="DZ3" t="s">
        <v>69</v>
      </c>
      <c r="EA3">
        <v>112</v>
      </c>
      <c r="EB3" t="s">
        <v>147</v>
      </c>
      <c r="EC3" t="s">
        <v>69</v>
      </c>
      <c r="ED3" t="s">
        <v>148</v>
      </c>
      <c r="EE3" t="s">
        <v>69</v>
      </c>
      <c r="EF3">
        <v>146.14599999999999</v>
      </c>
      <c r="EG3" t="s">
        <v>69</v>
      </c>
      <c r="EH3" t="s">
        <v>69</v>
      </c>
      <c r="EI3">
        <v>113</v>
      </c>
      <c r="EJ3" t="s">
        <v>70</v>
      </c>
      <c r="EK3" t="s">
        <v>69</v>
      </c>
      <c r="EL3" t="s">
        <v>71</v>
      </c>
      <c r="EM3" t="s">
        <v>69</v>
      </c>
      <c r="EN3">
        <v>75.066999999999993</v>
      </c>
      <c r="EO3" t="s">
        <v>69</v>
      </c>
      <c r="EP3" t="s">
        <v>69</v>
      </c>
      <c r="EQ3">
        <v>114</v>
      </c>
      <c r="ER3" t="s">
        <v>146</v>
      </c>
      <c r="ES3" t="s">
        <v>153</v>
      </c>
      <c r="ET3" t="s">
        <v>71</v>
      </c>
      <c r="EU3" t="s">
        <v>153</v>
      </c>
      <c r="EV3">
        <v>115.13200000000001</v>
      </c>
      <c r="EW3" t="s">
        <v>153</v>
      </c>
      <c r="EX3" t="s">
        <v>153</v>
      </c>
      <c r="EY3">
        <v>116</v>
      </c>
      <c r="EZ3" t="s">
        <v>147</v>
      </c>
      <c r="FA3" t="s">
        <v>153</v>
      </c>
      <c r="FB3" t="s">
        <v>148</v>
      </c>
      <c r="FC3" t="s">
        <v>153</v>
      </c>
      <c r="FD3">
        <v>146.14599999999999</v>
      </c>
      <c r="FE3" t="s">
        <v>69</v>
      </c>
      <c r="FF3" t="s">
        <v>69</v>
      </c>
      <c r="FG3">
        <v>120</v>
      </c>
      <c r="FH3" t="s">
        <v>72</v>
      </c>
      <c r="FI3" t="s">
        <v>153</v>
      </c>
      <c r="FJ3" t="s">
        <v>71</v>
      </c>
      <c r="FK3" t="s">
        <v>69</v>
      </c>
      <c r="FL3">
        <v>131.17500000000001</v>
      </c>
      <c r="FM3" t="s">
        <v>69</v>
      </c>
      <c r="FN3" t="s">
        <v>69</v>
      </c>
      <c r="FO3">
        <v>124</v>
      </c>
      <c r="FP3" t="s">
        <v>147</v>
      </c>
      <c r="FQ3" t="s">
        <v>153</v>
      </c>
      <c r="FR3" t="s">
        <v>148</v>
      </c>
      <c r="FS3" t="s">
        <v>153</v>
      </c>
      <c r="FT3">
        <v>146.14599999999999</v>
      </c>
      <c r="FU3" t="s">
        <v>69</v>
      </c>
      <c r="FV3" t="s">
        <v>69</v>
      </c>
    </row>
    <row r="4" spans="1:178" x14ac:dyDescent="0.25">
      <c r="A4">
        <v>7</v>
      </c>
      <c r="B4" t="str">
        <f>HYPERLINK("http://www.ncbi.nlm.nih.gov/protein/XP_023603101.1","XP_023603101.1")</f>
        <v>XP_023603101.1</v>
      </c>
      <c r="C4">
        <v>44033</v>
      </c>
      <c r="D4" t="str">
        <f>HYPERLINK("http://www.ncbi.nlm.nih.gov/Taxonomy/Browser/wwwtax.cgi?mode=Info&amp;id=59463&amp;lvl=3&amp;lin=f&amp;keep=1&amp;srchmode=1&amp;unlock","59463")</f>
        <v>59463</v>
      </c>
      <c r="E4" t="s">
        <v>66</v>
      </c>
      <c r="F4" t="str">
        <f>HYPERLINK("http://www.ncbi.nlm.nih.gov/Taxonomy/Browser/wwwtax.cgi?mode=Info&amp;id=59463&amp;lvl=3&amp;lin=f&amp;keep=1&amp;srchmode=1&amp;unlock","Myotis lucifugus")</f>
        <v>Myotis lucifugus</v>
      </c>
      <c r="G4" t="s">
        <v>253</v>
      </c>
      <c r="H4" t="str">
        <f>HYPERLINK("http://www.ncbi.nlm.nih.gov/protein/XP_023603101.1","bone marrow stromal antigen 2 isoform X3")</f>
        <v>bone marrow stromal antigen 2 isoform X3</v>
      </c>
      <c r="I4" t="s">
        <v>251</v>
      </c>
      <c r="J4" t="s">
        <v>153</v>
      </c>
      <c r="K4">
        <v>51</v>
      </c>
      <c r="L4" t="s">
        <v>73</v>
      </c>
      <c r="M4" t="s">
        <v>69</v>
      </c>
      <c r="N4" t="s">
        <v>71</v>
      </c>
      <c r="O4" t="s">
        <v>69</v>
      </c>
      <c r="P4">
        <v>89.093999999999994</v>
      </c>
      <c r="Q4" t="s">
        <v>69</v>
      </c>
      <c r="R4" t="s">
        <v>69</v>
      </c>
      <c r="S4">
        <v>52</v>
      </c>
      <c r="T4" t="s">
        <v>153</v>
      </c>
      <c r="U4" t="s">
        <v>69</v>
      </c>
      <c r="V4" t="s">
        <v>148</v>
      </c>
      <c r="W4" t="s">
        <v>69</v>
      </c>
      <c r="X4">
        <v>132.119</v>
      </c>
      <c r="Y4" t="s">
        <v>69</v>
      </c>
      <c r="Z4" t="s">
        <v>69</v>
      </c>
      <c r="AA4">
        <v>53</v>
      </c>
      <c r="AB4" t="s">
        <v>155</v>
      </c>
      <c r="AC4" t="s">
        <v>69</v>
      </c>
      <c r="AD4" t="s">
        <v>150</v>
      </c>
      <c r="AE4" t="s">
        <v>69</v>
      </c>
      <c r="AF4">
        <v>105.093</v>
      </c>
      <c r="AG4" t="s">
        <v>69</v>
      </c>
      <c r="AH4" t="s">
        <v>69</v>
      </c>
      <c r="AI4">
        <v>54</v>
      </c>
      <c r="AJ4" t="s">
        <v>146</v>
      </c>
      <c r="AK4" t="s">
        <v>153</v>
      </c>
      <c r="AL4" t="s">
        <v>71</v>
      </c>
      <c r="AM4" t="s">
        <v>153</v>
      </c>
      <c r="AN4">
        <v>115.13200000000001</v>
      </c>
      <c r="AO4" t="s">
        <v>153</v>
      </c>
      <c r="AP4" t="s">
        <v>153</v>
      </c>
      <c r="AQ4">
        <v>55</v>
      </c>
      <c r="AR4" t="s">
        <v>73</v>
      </c>
      <c r="AS4" t="s">
        <v>69</v>
      </c>
      <c r="AT4" t="s">
        <v>71</v>
      </c>
      <c r="AU4" t="s">
        <v>69</v>
      </c>
      <c r="AV4">
        <v>89.093999999999994</v>
      </c>
      <c r="AW4" t="s">
        <v>69</v>
      </c>
      <c r="AX4" t="s">
        <v>69</v>
      </c>
      <c r="AY4">
        <v>56</v>
      </c>
      <c r="AZ4" t="s">
        <v>249</v>
      </c>
      <c r="BA4" t="s">
        <v>69</v>
      </c>
      <c r="BB4" t="s">
        <v>117</v>
      </c>
      <c r="BC4" t="s">
        <v>69</v>
      </c>
      <c r="BD4">
        <v>121.154</v>
      </c>
      <c r="BE4" t="s">
        <v>69</v>
      </c>
      <c r="BF4" t="s">
        <v>69</v>
      </c>
      <c r="BG4">
        <v>87</v>
      </c>
      <c r="BH4" t="s">
        <v>149</v>
      </c>
      <c r="BI4" t="s">
        <v>153</v>
      </c>
      <c r="BJ4" t="s">
        <v>150</v>
      </c>
      <c r="BK4" t="s">
        <v>153</v>
      </c>
      <c r="BL4">
        <v>119.119</v>
      </c>
      <c r="BM4" t="s">
        <v>69</v>
      </c>
      <c r="BN4" t="s">
        <v>69</v>
      </c>
      <c r="BO4">
        <v>88</v>
      </c>
      <c r="BP4" t="s">
        <v>119</v>
      </c>
      <c r="BQ4" t="s">
        <v>69</v>
      </c>
      <c r="BR4" t="s">
        <v>120</v>
      </c>
      <c r="BS4" t="s">
        <v>69</v>
      </c>
      <c r="BT4">
        <v>147.131</v>
      </c>
      <c r="BU4" t="s">
        <v>69</v>
      </c>
      <c r="BV4" t="s">
        <v>69</v>
      </c>
      <c r="BW4">
        <v>90</v>
      </c>
      <c r="BX4" t="s">
        <v>147</v>
      </c>
      <c r="BY4" t="s">
        <v>69</v>
      </c>
      <c r="BZ4" t="s">
        <v>148</v>
      </c>
      <c r="CA4" t="s">
        <v>69</v>
      </c>
      <c r="CB4">
        <v>146.14599999999999</v>
      </c>
      <c r="CC4" t="s">
        <v>69</v>
      </c>
      <c r="CD4" t="s">
        <v>69</v>
      </c>
      <c r="CE4">
        <v>91</v>
      </c>
      <c r="CF4" t="s">
        <v>73</v>
      </c>
      <c r="CG4" t="s">
        <v>69</v>
      </c>
      <c r="CH4" t="s">
        <v>71</v>
      </c>
      <c r="CI4" t="s">
        <v>69</v>
      </c>
      <c r="CJ4">
        <v>89.093999999999994</v>
      </c>
      <c r="CK4" t="s">
        <v>69</v>
      </c>
      <c r="CL4" t="s">
        <v>69</v>
      </c>
      <c r="CM4">
        <v>92</v>
      </c>
      <c r="CN4" t="s">
        <v>73</v>
      </c>
      <c r="CO4" t="s">
        <v>69</v>
      </c>
      <c r="CP4" t="s">
        <v>71</v>
      </c>
      <c r="CQ4" t="s">
        <v>69</v>
      </c>
      <c r="CR4">
        <v>89.093999999999994</v>
      </c>
      <c r="CS4" t="s">
        <v>69</v>
      </c>
      <c r="CT4" t="s">
        <v>69</v>
      </c>
      <c r="CU4">
        <v>94</v>
      </c>
      <c r="CV4" t="s">
        <v>249</v>
      </c>
      <c r="CW4" t="s">
        <v>69</v>
      </c>
      <c r="CX4" t="s">
        <v>117</v>
      </c>
      <c r="CY4" t="s">
        <v>69</v>
      </c>
      <c r="CZ4">
        <v>121.154</v>
      </c>
      <c r="DA4" t="s">
        <v>69</v>
      </c>
      <c r="DB4" t="s">
        <v>69</v>
      </c>
      <c r="DC4">
        <v>95</v>
      </c>
      <c r="DD4" t="s">
        <v>153</v>
      </c>
      <c r="DE4" t="s">
        <v>69</v>
      </c>
      <c r="DF4" t="s">
        <v>148</v>
      </c>
      <c r="DG4" t="s">
        <v>69</v>
      </c>
      <c r="DH4">
        <v>132.119</v>
      </c>
      <c r="DI4" t="s">
        <v>69</v>
      </c>
      <c r="DJ4" t="s">
        <v>69</v>
      </c>
      <c r="DK4">
        <v>108</v>
      </c>
      <c r="DL4" t="s">
        <v>119</v>
      </c>
      <c r="DM4" t="s">
        <v>69</v>
      </c>
      <c r="DN4" t="s">
        <v>120</v>
      </c>
      <c r="DO4" t="s">
        <v>69</v>
      </c>
      <c r="DP4">
        <v>147.131</v>
      </c>
      <c r="DQ4" t="s">
        <v>69</v>
      </c>
      <c r="DR4" t="s">
        <v>69</v>
      </c>
      <c r="DS4">
        <v>109</v>
      </c>
      <c r="DT4" t="s">
        <v>76</v>
      </c>
      <c r="DU4" t="s">
        <v>69</v>
      </c>
      <c r="DV4" t="s">
        <v>75</v>
      </c>
      <c r="DW4" t="s">
        <v>69</v>
      </c>
      <c r="DX4">
        <v>146.18899999999999</v>
      </c>
      <c r="DY4" t="s">
        <v>69</v>
      </c>
      <c r="DZ4" t="s">
        <v>69</v>
      </c>
      <c r="EA4">
        <v>111</v>
      </c>
      <c r="EB4" t="s">
        <v>73</v>
      </c>
      <c r="EC4" t="s">
        <v>153</v>
      </c>
      <c r="ED4" t="s">
        <v>71</v>
      </c>
      <c r="EE4" t="s">
        <v>153</v>
      </c>
      <c r="EF4">
        <v>89.093999999999994</v>
      </c>
      <c r="EG4" t="s">
        <v>153</v>
      </c>
      <c r="EH4" t="s">
        <v>153</v>
      </c>
      <c r="EI4">
        <v>112</v>
      </c>
      <c r="EJ4" t="s">
        <v>70</v>
      </c>
      <c r="EK4" t="s">
        <v>69</v>
      </c>
      <c r="EL4" t="s">
        <v>71</v>
      </c>
      <c r="EM4" t="s">
        <v>69</v>
      </c>
      <c r="EN4">
        <v>75.066999999999993</v>
      </c>
      <c r="EO4" t="s">
        <v>69</v>
      </c>
      <c r="EP4" t="s">
        <v>69</v>
      </c>
      <c r="EQ4">
        <v>113</v>
      </c>
      <c r="ER4" t="s">
        <v>157</v>
      </c>
      <c r="ES4" t="s">
        <v>153</v>
      </c>
      <c r="ET4" t="s">
        <v>75</v>
      </c>
      <c r="EU4" t="s">
        <v>153</v>
      </c>
      <c r="EV4">
        <v>155.15600000000001</v>
      </c>
      <c r="EW4" t="s">
        <v>69</v>
      </c>
      <c r="EX4" t="s">
        <v>69</v>
      </c>
      <c r="EY4">
        <v>115</v>
      </c>
      <c r="EZ4" t="s">
        <v>147</v>
      </c>
      <c r="FA4" t="s">
        <v>153</v>
      </c>
      <c r="FB4" t="s">
        <v>148</v>
      </c>
      <c r="FC4" t="s">
        <v>153</v>
      </c>
      <c r="FD4">
        <v>146.14599999999999</v>
      </c>
      <c r="FE4" t="s">
        <v>69</v>
      </c>
      <c r="FF4" t="s">
        <v>69</v>
      </c>
      <c r="FG4">
        <v>119</v>
      </c>
      <c r="FH4" t="s">
        <v>115</v>
      </c>
      <c r="FI4" t="s">
        <v>69</v>
      </c>
      <c r="FJ4" t="s">
        <v>71</v>
      </c>
      <c r="FK4" t="s">
        <v>69</v>
      </c>
      <c r="FL4">
        <v>117.148</v>
      </c>
      <c r="FM4" t="s">
        <v>69</v>
      </c>
      <c r="FN4" t="s">
        <v>69</v>
      </c>
      <c r="FO4">
        <v>123</v>
      </c>
      <c r="FP4" t="s">
        <v>147</v>
      </c>
      <c r="FQ4" t="s">
        <v>153</v>
      </c>
      <c r="FR4" t="s">
        <v>148</v>
      </c>
      <c r="FS4" t="s">
        <v>153</v>
      </c>
      <c r="FT4">
        <v>146.14599999999999</v>
      </c>
      <c r="FU4" t="s">
        <v>69</v>
      </c>
      <c r="FV4" t="s">
        <v>69</v>
      </c>
    </row>
    <row r="5" spans="1:178" x14ac:dyDescent="0.25">
      <c r="A5">
        <v>7</v>
      </c>
      <c r="B5" t="str">
        <f>HYPERLINK("http://www.ncbi.nlm.nih.gov/protein/QWX94046.1","QWX94046.1")</f>
        <v>QWX94046.1</v>
      </c>
      <c r="C5">
        <v>182</v>
      </c>
      <c r="D5" t="str">
        <f>HYPERLINK("http://www.ncbi.nlm.nih.gov/Taxonomy/Browser/wwwtax.cgi?mode=Info&amp;id=196889&amp;lvl=3&amp;lin=f&amp;keep=1&amp;srchmode=1&amp;unlock","196889")</f>
        <v>196889</v>
      </c>
      <c r="E5" t="s">
        <v>66</v>
      </c>
      <c r="F5" t="str">
        <f>HYPERLINK("http://www.ncbi.nlm.nih.gov/Taxonomy/Browser/wwwtax.cgi?mode=Info&amp;id=196889&amp;lvl=3&amp;lin=f&amp;keep=1&amp;srchmode=1&amp;unlock","Rhinolophus macrotis")</f>
        <v>Rhinolophus macrotis</v>
      </c>
      <c r="G5" t="s">
        <v>254</v>
      </c>
      <c r="H5" t="str">
        <f>HYPERLINK("http://www.ncbi.nlm.nih.gov/protein/QWX94046.1","BST-2")</f>
        <v>BST-2</v>
      </c>
      <c r="I5" t="s">
        <v>251</v>
      </c>
      <c r="J5" t="s">
        <v>153</v>
      </c>
      <c r="K5">
        <v>52</v>
      </c>
      <c r="L5" t="s">
        <v>73</v>
      </c>
      <c r="M5" t="s">
        <v>69</v>
      </c>
      <c r="N5" t="s">
        <v>71</v>
      </c>
      <c r="O5" t="s">
        <v>69</v>
      </c>
      <c r="P5">
        <v>89.093999999999994</v>
      </c>
      <c r="Q5" t="s">
        <v>69</v>
      </c>
      <c r="R5" t="s">
        <v>69</v>
      </c>
      <c r="S5">
        <v>53</v>
      </c>
      <c r="T5" t="s">
        <v>153</v>
      </c>
      <c r="U5" t="s">
        <v>69</v>
      </c>
      <c r="V5" t="s">
        <v>148</v>
      </c>
      <c r="W5" t="s">
        <v>69</v>
      </c>
      <c r="X5">
        <v>132.119</v>
      </c>
      <c r="Y5" t="s">
        <v>69</v>
      </c>
      <c r="Z5" t="s">
        <v>69</v>
      </c>
      <c r="AA5">
        <v>54</v>
      </c>
      <c r="AB5" t="s">
        <v>74</v>
      </c>
      <c r="AC5" t="s">
        <v>153</v>
      </c>
      <c r="AD5" t="s">
        <v>75</v>
      </c>
      <c r="AE5" t="s">
        <v>153</v>
      </c>
      <c r="AF5">
        <v>174.203</v>
      </c>
      <c r="AG5" t="s">
        <v>153</v>
      </c>
      <c r="AH5" t="s">
        <v>153</v>
      </c>
      <c r="AI5">
        <v>55</v>
      </c>
      <c r="AJ5" t="s">
        <v>119</v>
      </c>
      <c r="AK5" t="s">
        <v>69</v>
      </c>
      <c r="AL5" t="s">
        <v>120</v>
      </c>
      <c r="AM5" t="s">
        <v>69</v>
      </c>
      <c r="AN5">
        <v>147.131</v>
      </c>
      <c r="AO5" t="s">
        <v>69</v>
      </c>
      <c r="AP5" t="s">
        <v>69</v>
      </c>
      <c r="AQ5">
        <v>56</v>
      </c>
      <c r="AR5" t="s">
        <v>73</v>
      </c>
      <c r="AS5" t="s">
        <v>69</v>
      </c>
      <c r="AT5" t="s">
        <v>71</v>
      </c>
      <c r="AU5" t="s">
        <v>69</v>
      </c>
      <c r="AV5">
        <v>89.093999999999994</v>
      </c>
      <c r="AW5" t="s">
        <v>69</v>
      </c>
      <c r="AX5" t="s">
        <v>69</v>
      </c>
      <c r="AY5">
        <v>57</v>
      </c>
      <c r="AZ5" t="s">
        <v>249</v>
      </c>
      <c r="BA5" t="s">
        <v>69</v>
      </c>
      <c r="BB5" t="s">
        <v>117</v>
      </c>
      <c r="BC5" t="s">
        <v>69</v>
      </c>
      <c r="BD5">
        <v>121.154</v>
      </c>
      <c r="BE5" t="s">
        <v>69</v>
      </c>
      <c r="BF5" t="s">
        <v>69</v>
      </c>
      <c r="BG5">
        <v>88</v>
      </c>
      <c r="BH5" t="s">
        <v>116</v>
      </c>
      <c r="BI5" t="s">
        <v>153</v>
      </c>
      <c r="BJ5" t="s">
        <v>117</v>
      </c>
      <c r="BK5" t="s">
        <v>153</v>
      </c>
      <c r="BL5">
        <v>149.208</v>
      </c>
      <c r="BM5" t="s">
        <v>153</v>
      </c>
      <c r="BN5" t="s">
        <v>153</v>
      </c>
      <c r="BO5">
        <v>89</v>
      </c>
      <c r="BP5" t="s">
        <v>76</v>
      </c>
      <c r="BQ5" t="s">
        <v>153</v>
      </c>
      <c r="BR5" t="s">
        <v>75</v>
      </c>
      <c r="BS5" t="s">
        <v>153</v>
      </c>
      <c r="BT5">
        <v>146.18899999999999</v>
      </c>
      <c r="BU5" t="s">
        <v>69</v>
      </c>
      <c r="BV5" t="s">
        <v>69</v>
      </c>
      <c r="BW5">
        <v>91</v>
      </c>
      <c r="BX5" t="s">
        <v>147</v>
      </c>
      <c r="BY5" t="s">
        <v>69</v>
      </c>
      <c r="BZ5" t="s">
        <v>148</v>
      </c>
      <c r="CA5" t="s">
        <v>69</v>
      </c>
      <c r="CB5">
        <v>146.14599999999999</v>
      </c>
      <c r="CC5" t="s">
        <v>69</v>
      </c>
      <c r="CD5" t="s">
        <v>69</v>
      </c>
      <c r="CE5">
        <v>92</v>
      </c>
      <c r="CF5" t="s">
        <v>73</v>
      </c>
      <c r="CG5" t="s">
        <v>69</v>
      </c>
      <c r="CH5" t="s">
        <v>71</v>
      </c>
      <c r="CI5" t="s">
        <v>69</v>
      </c>
      <c r="CJ5">
        <v>89.093999999999994</v>
      </c>
      <c r="CK5" t="s">
        <v>69</v>
      </c>
      <c r="CL5" t="s">
        <v>69</v>
      </c>
      <c r="CM5">
        <v>93</v>
      </c>
      <c r="CN5" t="s">
        <v>73</v>
      </c>
      <c r="CO5" t="s">
        <v>69</v>
      </c>
      <c r="CP5" t="s">
        <v>71</v>
      </c>
      <c r="CQ5" t="s">
        <v>69</v>
      </c>
      <c r="CR5">
        <v>89.093999999999994</v>
      </c>
      <c r="CS5" t="s">
        <v>69</v>
      </c>
      <c r="CT5" t="s">
        <v>69</v>
      </c>
      <c r="CU5">
        <v>95</v>
      </c>
      <c r="CV5" t="s">
        <v>249</v>
      </c>
      <c r="CW5" t="s">
        <v>69</v>
      </c>
      <c r="CX5" t="s">
        <v>117</v>
      </c>
      <c r="CY5" t="s">
        <v>69</v>
      </c>
      <c r="CZ5">
        <v>121.154</v>
      </c>
      <c r="DA5" t="s">
        <v>69</v>
      </c>
      <c r="DB5" t="s">
        <v>69</v>
      </c>
      <c r="DC5">
        <v>96</v>
      </c>
      <c r="DD5" t="s">
        <v>153</v>
      </c>
      <c r="DE5" t="s">
        <v>69</v>
      </c>
      <c r="DF5" t="s">
        <v>148</v>
      </c>
      <c r="DG5" t="s">
        <v>69</v>
      </c>
      <c r="DH5">
        <v>132.119</v>
      </c>
      <c r="DI5" t="s">
        <v>69</v>
      </c>
      <c r="DJ5" t="s">
        <v>69</v>
      </c>
      <c r="DK5">
        <v>109</v>
      </c>
      <c r="DL5" t="s">
        <v>119</v>
      </c>
      <c r="DM5" t="s">
        <v>69</v>
      </c>
      <c r="DN5" t="s">
        <v>120</v>
      </c>
      <c r="DO5" t="s">
        <v>69</v>
      </c>
      <c r="DP5">
        <v>147.131</v>
      </c>
      <c r="DQ5" t="s">
        <v>69</v>
      </c>
      <c r="DR5" t="s">
        <v>69</v>
      </c>
      <c r="DS5">
        <v>110</v>
      </c>
      <c r="DT5" t="s">
        <v>76</v>
      </c>
      <c r="DU5" t="s">
        <v>69</v>
      </c>
      <c r="DV5" t="s">
        <v>75</v>
      </c>
      <c r="DW5" t="s">
        <v>69</v>
      </c>
      <c r="DX5">
        <v>146.18899999999999</v>
      </c>
      <c r="DY5" t="s">
        <v>69</v>
      </c>
      <c r="DZ5" t="s">
        <v>69</v>
      </c>
      <c r="EA5">
        <v>112</v>
      </c>
      <c r="EB5" t="s">
        <v>157</v>
      </c>
      <c r="EC5" t="s">
        <v>153</v>
      </c>
      <c r="ED5" t="s">
        <v>75</v>
      </c>
      <c r="EE5" t="s">
        <v>153</v>
      </c>
      <c r="EF5">
        <v>155.15600000000001</v>
      </c>
      <c r="EG5" t="s">
        <v>69</v>
      </c>
      <c r="EH5" t="s">
        <v>69</v>
      </c>
      <c r="EI5">
        <v>113</v>
      </c>
      <c r="EJ5" t="s">
        <v>70</v>
      </c>
      <c r="EK5" t="s">
        <v>69</v>
      </c>
      <c r="EL5" t="s">
        <v>71</v>
      </c>
      <c r="EM5" t="s">
        <v>69</v>
      </c>
      <c r="EN5">
        <v>75.066999999999993</v>
      </c>
      <c r="EO5" t="s">
        <v>69</v>
      </c>
      <c r="EP5" t="s">
        <v>69</v>
      </c>
      <c r="EQ5">
        <v>114</v>
      </c>
      <c r="ER5" t="s">
        <v>157</v>
      </c>
      <c r="ES5" t="s">
        <v>153</v>
      </c>
      <c r="ET5" t="s">
        <v>75</v>
      </c>
      <c r="EU5" t="s">
        <v>153</v>
      </c>
      <c r="EV5">
        <v>155.15600000000001</v>
      </c>
      <c r="EW5" t="s">
        <v>69</v>
      </c>
      <c r="EX5" t="s">
        <v>69</v>
      </c>
      <c r="EY5">
        <v>116</v>
      </c>
      <c r="EZ5" t="s">
        <v>147</v>
      </c>
      <c r="FA5" t="s">
        <v>153</v>
      </c>
      <c r="FB5" t="s">
        <v>148</v>
      </c>
      <c r="FC5" t="s">
        <v>153</v>
      </c>
      <c r="FD5">
        <v>146.14599999999999</v>
      </c>
      <c r="FE5" t="s">
        <v>69</v>
      </c>
      <c r="FF5" t="s">
        <v>69</v>
      </c>
      <c r="FG5">
        <v>120</v>
      </c>
      <c r="FH5" t="s">
        <v>115</v>
      </c>
      <c r="FI5" t="s">
        <v>69</v>
      </c>
      <c r="FJ5" t="s">
        <v>71</v>
      </c>
      <c r="FK5" t="s">
        <v>69</v>
      </c>
      <c r="FL5">
        <v>117.148</v>
      </c>
      <c r="FM5" t="s">
        <v>69</v>
      </c>
      <c r="FN5" t="s">
        <v>69</v>
      </c>
      <c r="FO5">
        <v>124</v>
      </c>
      <c r="FP5" t="s">
        <v>147</v>
      </c>
      <c r="FQ5" t="s">
        <v>153</v>
      </c>
      <c r="FR5" t="s">
        <v>148</v>
      </c>
      <c r="FS5" t="s">
        <v>153</v>
      </c>
      <c r="FT5">
        <v>146.14599999999999</v>
      </c>
      <c r="FU5" t="s">
        <v>69</v>
      </c>
      <c r="FV5" t="s">
        <v>69</v>
      </c>
    </row>
    <row r="6" spans="1:178" x14ac:dyDescent="0.25">
      <c r="A6">
        <v>7</v>
      </c>
      <c r="B6" t="str">
        <f>HYPERLINK("http://www.ncbi.nlm.nih.gov/protein/XP_019592303.1","XP_019592303.1")</f>
        <v>XP_019592303.1</v>
      </c>
      <c r="C6">
        <v>44832</v>
      </c>
      <c r="D6" t="str">
        <f>HYPERLINK("http://www.ncbi.nlm.nih.gov/Taxonomy/Browser/wwwtax.cgi?mode=Info&amp;id=89399&amp;lvl=3&amp;lin=f&amp;keep=1&amp;srchmode=1&amp;unlock","89399")</f>
        <v>89399</v>
      </c>
      <c r="E6" t="s">
        <v>66</v>
      </c>
      <c r="F6" t="str">
        <f>HYPERLINK("http://www.ncbi.nlm.nih.gov/Taxonomy/Browser/wwwtax.cgi?mode=Info&amp;id=89399&amp;lvl=3&amp;lin=f&amp;keep=1&amp;srchmode=1&amp;unlock","Rhinolophus sinicus")</f>
        <v>Rhinolophus sinicus</v>
      </c>
      <c r="G6" t="s">
        <v>255</v>
      </c>
      <c r="H6" t="str">
        <f>HYPERLINK("http://www.ncbi.nlm.nih.gov/protein/XP_019592303.1","PREDICTED: bone marrow stromal antigen 2")</f>
        <v>PREDICTED: bone marrow stromal antigen 2</v>
      </c>
      <c r="I6" t="s">
        <v>251</v>
      </c>
      <c r="J6" t="s">
        <v>153</v>
      </c>
      <c r="K6">
        <v>52</v>
      </c>
      <c r="L6" t="s">
        <v>73</v>
      </c>
      <c r="M6" t="s">
        <v>69</v>
      </c>
      <c r="N6" t="s">
        <v>71</v>
      </c>
      <c r="O6" t="s">
        <v>69</v>
      </c>
      <c r="P6">
        <v>89.093999999999994</v>
      </c>
      <c r="Q6" t="s">
        <v>69</v>
      </c>
      <c r="R6" t="s">
        <v>69</v>
      </c>
      <c r="S6">
        <v>53</v>
      </c>
      <c r="T6" t="s">
        <v>153</v>
      </c>
      <c r="U6" t="s">
        <v>69</v>
      </c>
      <c r="V6" t="s">
        <v>148</v>
      </c>
      <c r="W6" t="s">
        <v>69</v>
      </c>
      <c r="X6">
        <v>132.119</v>
      </c>
      <c r="Y6" t="s">
        <v>69</v>
      </c>
      <c r="Z6" t="s">
        <v>69</v>
      </c>
      <c r="AA6">
        <v>54</v>
      </c>
      <c r="AB6" t="s">
        <v>74</v>
      </c>
      <c r="AC6" t="s">
        <v>153</v>
      </c>
      <c r="AD6" t="s">
        <v>75</v>
      </c>
      <c r="AE6" t="s">
        <v>153</v>
      </c>
      <c r="AF6">
        <v>174.203</v>
      </c>
      <c r="AG6" t="s">
        <v>153</v>
      </c>
      <c r="AH6" t="s">
        <v>153</v>
      </c>
      <c r="AI6">
        <v>55</v>
      </c>
      <c r="AJ6" t="s">
        <v>119</v>
      </c>
      <c r="AK6" t="s">
        <v>69</v>
      </c>
      <c r="AL6" t="s">
        <v>120</v>
      </c>
      <c r="AM6" t="s">
        <v>69</v>
      </c>
      <c r="AN6">
        <v>147.131</v>
      </c>
      <c r="AO6" t="s">
        <v>69</v>
      </c>
      <c r="AP6" t="s">
        <v>69</v>
      </c>
      <c r="AQ6">
        <v>56</v>
      </c>
      <c r="AR6" t="s">
        <v>73</v>
      </c>
      <c r="AS6" t="s">
        <v>69</v>
      </c>
      <c r="AT6" t="s">
        <v>71</v>
      </c>
      <c r="AU6" t="s">
        <v>69</v>
      </c>
      <c r="AV6">
        <v>89.093999999999994</v>
      </c>
      <c r="AW6" t="s">
        <v>69</v>
      </c>
      <c r="AX6" t="s">
        <v>69</v>
      </c>
      <c r="AY6">
        <v>57</v>
      </c>
      <c r="AZ6" t="s">
        <v>249</v>
      </c>
      <c r="BA6" t="s">
        <v>69</v>
      </c>
      <c r="BB6" t="s">
        <v>117</v>
      </c>
      <c r="BC6" t="s">
        <v>69</v>
      </c>
      <c r="BD6">
        <v>121.154</v>
      </c>
      <c r="BE6" t="s">
        <v>69</v>
      </c>
      <c r="BF6" t="s">
        <v>69</v>
      </c>
      <c r="BG6">
        <v>88</v>
      </c>
      <c r="BH6" t="s">
        <v>116</v>
      </c>
      <c r="BI6" t="s">
        <v>153</v>
      </c>
      <c r="BJ6" t="s">
        <v>117</v>
      </c>
      <c r="BK6" t="s">
        <v>153</v>
      </c>
      <c r="BL6">
        <v>149.208</v>
      </c>
      <c r="BM6" t="s">
        <v>153</v>
      </c>
      <c r="BN6" t="s">
        <v>153</v>
      </c>
      <c r="BO6">
        <v>89</v>
      </c>
      <c r="BP6" t="s">
        <v>76</v>
      </c>
      <c r="BQ6" t="s">
        <v>153</v>
      </c>
      <c r="BR6" t="s">
        <v>75</v>
      </c>
      <c r="BS6" t="s">
        <v>153</v>
      </c>
      <c r="BT6">
        <v>146.18899999999999</v>
      </c>
      <c r="BU6" t="s">
        <v>69</v>
      </c>
      <c r="BV6" t="s">
        <v>69</v>
      </c>
      <c r="BW6">
        <v>91</v>
      </c>
      <c r="BX6" t="s">
        <v>147</v>
      </c>
      <c r="BY6" t="s">
        <v>69</v>
      </c>
      <c r="BZ6" t="s">
        <v>148</v>
      </c>
      <c r="CA6" t="s">
        <v>69</v>
      </c>
      <c r="CB6">
        <v>146.14599999999999</v>
      </c>
      <c r="CC6" t="s">
        <v>69</v>
      </c>
      <c r="CD6" t="s">
        <v>69</v>
      </c>
      <c r="CE6">
        <v>92</v>
      </c>
      <c r="CF6" t="s">
        <v>73</v>
      </c>
      <c r="CG6" t="s">
        <v>69</v>
      </c>
      <c r="CH6" t="s">
        <v>71</v>
      </c>
      <c r="CI6" t="s">
        <v>69</v>
      </c>
      <c r="CJ6">
        <v>89.093999999999994</v>
      </c>
      <c r="CK6" t="s">
        <v>69</v>
      </c>
      <c r="CL6" t="s">
        <v>69</v>
      </c>
      <c r="CM6">
        <v>93</v>
      </c>
      <c r="CN6" t="s">
        <v>73</v>
      </c>
      <c r="CO6" t="s">
        <v>69</v>
      </c>
      <c r="CP6" t="s">
        <v>71</v>
      </c>
      <c r="CQ6" t="s">
        <v>69</v>
      </c>
      <c r="CR6">
        <v>89.093999999999994</v>
      </c>
      <c r="CS6" t="s">
        <v>69</v>
      </c>
      <c r="CT6" t="s">
        <v>69</v>
      </c>
      <c r="CU6">
        <v>95</v>
      </c>
      <c r="CV6" t="s">
        <v>249</v>
      </c>
      <c r="CW6" t="s">
        <v>69</v>
      </c>
      <c r="CX6" t="s">
        <v>117</v>
      </c>
      <c r="CY6" t="s">
        <v>69</v>
      </c>
      <c r="CZ6">
        <v>121.154</v>
      </c>
      <c r="DA6" t="s">
        <v>69</v>
      </c>
      <c r="DB6" t="s">
        <v>69</v>
      </c>
      <c r="DC6">
        <v>96</v>
      </c>
      <c r="DD6" t="s">
        <v>153</v>
      </c>
      <c r="DE6" t="s">
        <v>69</v>
      </c>
      <c r="DF6" t="s">
        <v>148</v>
      </c>
      <c r="DG6" t="s">
        <v>69</v>
      </c>
      <c r="DH6">
        <v>132.119</v>
      </c>
      <c r="DI6" t="s">
        <v>69</v>
      </c>
      <c r="DJ6" t="s">
        <v>69</v>
      </c>
      <c r="DK6">
        <v>109</v>
      </c>
      <c r="DL6" t="s">
        <v>119</v>
      </c>
      <c r="DM6" t="s">
        <v>69</v>
      </c>
      <c r="DN6" t="s">
        <v>120</v>
      </c>
      <c r="DO6" t="s">
        <v>69</v>
      </c>
      <c r="DP6">
        <v>147.131</v>
      </c>
      <c r="DQ6" t="s">
        <v>69</v>
      </c>
      <c r="DR6" t="s">
        <v>69</v>
      </c>
      <c r="DS6">
        <v>110</v>
      </c>
      <c r="DT6" t="s">
        <v>76</v>
      </c>
      <c r="DU6" t="s">
        <v>69</v>
      </c>
      <c r="DV6" t="s">
        <v>75</v>
      </c>
      <c r="DW6" t="s">
        <v>69</v>
      </c>
      <c r="DX6">
        <v>146.18899999999999</v>
      </c>
      <c r="DY6" t="s">
        <v>69</v>
      </c>
      <c r="DZ6" t="s">
        <v>69</v>
      </c>
      <c r="EA6">
        <v>112</v>
      </c>
      <c r="EB6" t="s">
        <v>157</v>
      </c>
      <c r="EC6" t="s">
        <v>153</v>
      </c>
      <c r="ED6" t="s">
        <v>75</v>
      </c>
      <c r="EE6" t="s">
        <v>153</v>
      </c>
      <c r="EF6">
        <v>155.15600000000001</v>
      </c>
      <c r="EG6" t="s">
        <v>69</v>
      </c>
      <c r="EH6" t="s">
        <v>69</v>
      </c>
      <c r="EI6">
        <v>113</v>
      </c>
      <c r="EJ6" t="s">
        <v>70</v>
      </c>
      <c r="EK6" t="s">
        <v>69</v>
      </c>
      <c r="EL6" t="s">
        <v>71</v>
      </c>
      <c r="EM6" t="s">
        <v>69</v>
      </c>
      <c r="EN6">
        <v>75.066999999999993</v>
      </c>
      <c r="EO6" t="s">
        <v>69</v>
      </c>
      <c r="EP6" t="s">
        <v>69</v>
      </c>
      <c r="EQ6">
        <v>114</v>
      </c>
      <c r="ER6" t="s">
        <v>157</v>
      </c>
      <c r="ES6" t="s">
        <v>153</v>
      </c>
      <c r="ET6" t="s">
        <v>75</v>
      </c>
      <c r="EU6" t="s">
        <v>153</v>
      </c>
      <c r="EV6">
        <v>155.15600000000001</v>
      </c>
      <c r="EW6" t="s">
        <v>69</v>
      </c>
      <c r="EX6" t="s">
        <v>69</v>
      </c>
      <c r="EY6">
        <v>116</v>
      </c>
      <c r="EZ6" t="s">
        <v>147</v>
      </c>
      <c r="FA6" t="s">
        <v>153</v>
      </c>
      <c r="FB6" t="s">
        <v>148</v>
      </c>
      <c r="FC6" t="s">
        <v>153</v>
      </c>
      <c r="FD6">
        <v>146.14599999999999</v>
      </c>
      <c r="FE6" t="s">
        <v>69</v>
      </c>
      <c r="FF6" t="s">
        <v>69</v>
      </c>
      <c r="FG6">
        <v>120</v>
      </c>
      <c r="FH6" t="s">
        <v>115</v>
      </c>
      <c r="FI6" t="s">
        <v>69</v>
      </c>
      <c r="FJ6" t="s">
        <v>71</v>
      </c>
      <c r="FK6" t="s">
        <v>69</v>
      </c>
      <c r="FL6">
        <v>117.148</v>
      </c>
      <c r="FM6" t="s">
        <v>69</v>
      </c>
      <c r="FN6" t="s">
        <v>69</v>
      </c>
      <c r="FO6">
        <v>124</v>
      </c>
      <c r="FP6" t="s">
        <v>147</v>
      </c>
      <c r="FQ6" t="s">
        <v>153</v>
      </c>
      <c r="FR6" t="s">
        <v>148</v>
      </c>
      <c r="FS6" t="s">
        <v>153</v>
      </c>
      <c r="FT6">
        <v>146.14599999999999</v>
      </c>
      <c r="FU6" t="s">
        <v>69</v>
      </c>
      <c r="FV6" t="s">
        <v>69</v>
      </c>
    </row>
    <row r="7" spans="1:178" x14ac:dyDescent="0.25">
      <c r="A7">
        <v>7</v>
      </c>
      <c r="B7" t="str">
        <f>HYPERLINK("http://www.ncbi.nlm.nih.gov/protein/QWX94041.1","QWX94041.1")</f>
        <v>QWX94041.1</v>
      </c>
      <c r="C7">
        <v>106890</v>
      </c>
      <c r="D7" t="str">
        <f>HYPERLINK("http://www.ncbi.nlm.nih.gov/Taxonomy/Browser/wwwtax.cgi?mode=Info&amp;id=51298&amp;lvl=3&amp;lin=f&amp;keep=1&amp;srchmode=1&amp;unlock","51298")</f>
        <v>51298</v>
      </c>
      <c r="E7" t="s">
        <v>66</v>
      </c>
      <c r="F7" t="str">
        <f>HYPERLINK("http://www.ncbi.nlm.nih.gov/Taxonomy/Browser/wwwtax.cgi?mode=Info&amp;id=51298&amp;lvl=3&amp;lin=f&amp;keep=1&amp;srchmode=1&amp;unlock","Myotis myotis")</f>
        <v>Myotis myotis</v>
      </c>
      <c r="G7" t="s">
        <v>256</v>
      </c>
      <c r="H7" t="str">
        <f>HYPERLINK("http://www.ncbi.nlm.nih.gov/protein/QWX94041.1","BST-2")</f>
        <v>BST-2</v>
      </c>
      <c r="I7" t="s">
        <v>251</v>
      </c>
      <c r="J7" t="s">
        <v>153</v>
      </c>
      <c r="K7">
        <v>54</v>
      </c>
      <c r="L7" t="s">
        <v>73</v>
      </c>
      <c r="M7" t="s">
        <v>69</v>
      </c>
      <c r="N7" t="s">
        <v>71</v>
      </c>
      <c r="O7" t="s">
        <v>69</v>
      </c>
      <c r="P7">
        <v>89.093999999999994</v>
      </c>
      <c r="Q7" t="s">
        <v>69</v>
      </c>
      <c r="R7" t="s">
        <v>69</v>
      </c>
      <c r="S7">
        <v>55</v>
      </c>
      <c r="T7" t="s">
        <v>153</v>
      </c>
      <c r="U7" t="s">
        <v>69</v>
      </c>
      <c r="V7" t="s">
        <v>148</v>
      </c>
      <c r="W7" t="s">
        <v>69</v>
      </c>
      <c r="X7">
        <v>132.119</v>
      </c>
      <c r="Y7" t="s">
        <v>69</v>
      </c>
      <c r="Z7" t="s">
        <v>69</v>
      </c>
      <c r="AA7">
        <v>56</v>
      </c>
      <c r="AB7" t="s">
        <v>155</v>
      </c>
      <c r="AC7" t="s">
        <v>69</v>
      </c>
      <c r="AD7" t="s">
        <v>150</v>
      </c>
      <c r="AE7" t="s">
        <v>69</v>
      </c>
      <c r="AF7">
        <v>105.093</v>
      </c>
      <c r="AG7" t="s">
        <v>69</v>
      </c>
      <c r="AH7" t="s">
        <v>69</v>
      </c>
      <c r="AI7">
        <v>57</v>
      </c>
      <c r="AJ7" t="s">
        <v>146</v>
      </c>
      <c r="AK7" t="s">
        <v>153</v>
      </c>
      <c r="AL7" t="s">
        <v>71</v>
      </c>
      <c r="AM7" t="s">
        <v>153</v>
      </c>
      <c r="AN7">
        <v>115.13200000000001</v>
      </c>
      <c r="AO7" t="s">
        <v>153</v>
      </c>
      <c r="AP7" t="s">
        <v>153</v>
      </c>
      <c r="AQ7">
        <v>58</v>
      </c>
      <c r="AR7" t="s">
        <v>73</v>
      </c>
      <c r="AS7" t="s">
        <v>69</v>
      </c>
      <c r="AT7" t="s">
        <v>71</v>
      </c>
      <c r="AU7" t="s">
        <v>69</v>
      </c>
      <c r="AV7">
        <v>89.093999999999994</v>
      </c>
      <c r="AW7" t="s">
        <v>69</v>
      </c>
      <c r="AX7" t="s">
        <v>69</v>
      </c>
      <c r="AY7">
        <v>59</v>
      </c>
      <c r="AZ7" t="s">
        <v>249</v>
      </c>
      <c r="BA7" t="s">
        <v>69</v>
      </c>
      <c r="BB7" t="s">
        <v>117</v>
      </c>
      <c r="BC7" t="s">
        <v>69</v>
      </c>
      <c r="BD7">
        <v>121.154</v>
      </c>
      <c r="BE7" t="s">
        <v>69</v>
      </c>
      <c r="BF7" t="s">
        <v>69</v>
      </c>
      <c r="BG7">
        <v>90</v>
      </c>
      <c r="BH7" t="s">
        <v>149</v>
      </c>
      <c r="BI7" t="s">
        <v>153</v>
      </c>
      <c r="BJ7" t="s">
        <v>150</v>
      </c>
      <c r="BK7" t="s">
        <v>153</v>
      </c>
      <c r="BL7">
        <v>119.119</v>
      </c>
      <c r="BM7" t="s">
        <v>69</v>
      </c>
      <c r="BN7" t="s">
        <v>69</v>
      </c>
      <c r="BO7">
        <v>91</v>
      </c>
      <c r="BP7" t="s">
        <v>119</v>
      </c>
      <c r="BQ7" t="s">
        <v>69</v>
      </c>
      <c r="BR7" t="s">
        <v>120</v>
      </c>
      <c r="BS7" t="s">
        <v>69</v>
      </c>
      <c r="BT7">
        <v>147.131</v>
      </c>
      <c r="BU7" t="s">
        <v>69</v>
      </c>
      <c r="BV7" t="s">
        <v>69</v>
      </c>
      <c r="BW7">
        <v>93</v>
      </c>
      <c r="BX7" t="s">
        <v>147</v>
      </c>
      <c r="BY7" t="s">
        <v>69</v>
      </c>
      <c r="BZ7" t="s">
        <v>148</v>
      </c>
      <c r="CA7" t="s">
        <v>69</v>
      </c>
      <c r="CB7">
        <v>146.14599999999999</v>
      </c>
      <c r="CC7" t="s">
        <v>69</v>
      </c>
      <c r="CD7" t="s">
        <v>69</v>
      </c>
      <c r="CE7">
        <v>94</v>
      </c>
      <c r="CF7" t="s">
        <v>73</v>
      </c>
      <c r="CG7" t="s">
        <v>69</v>
      </c>
      <c r="CH7" t="s">
        <v>71</v>
      </c>
      <c r="CI7" t="s">
        <v>69</v>
      </c>
      <c r="CJ7">
        <v>89.093999999999994</v>
      </c>
      <c r="CK7" t="s">
        <v>69</v>
      </c>
      <c r="CL7" t="s">
        <v>69</v>
      </c>
      <c r="CM7">
        <v>95</v>
      </c>
      <c r="CN7" t="s">
        <v>73</v>
      </c>
      <c r="CO7" t="s">
        <v>69</v>
      </c>
      <c r="CP7" t="s">
        <v>71</v>
      </c>
      <c r="CQ7" t="s">
        <v>69</v>
      </c>
      <c r="CR7">
        <v>89.093999999999994</v>
      </c>
      <c r="CS7" t="s">
        <v>69</v>
      </c>
      <c r="CT7" t="s">
        <v>69</v>
      </c>
      <c r="CU7">
        <v>97</v>
      </c>
      <c r="CV7" t="s">
        <v>249</v>
      </c>
      <c r="CW7" t="s">
        <v>69</v>
      </c>
      <c r="CX7" t="s">
        <v>117</v>
      </c>
      <c r="CY7" t="s">
        <v>69</v>
      </c>
      <c r="CZ7">
        <v>121.154</v>
      </c>
      <c r="DA7" t="s">
        <v>69</v>
      </c>
      <c r="DB7" t="s">
        <v>69</v>
      </c>
      <c r="DC7">
        <v>98</v>
      </c>
      <c r="DD7" t="s">
        <v>153</v>
      </c>
      <c r="DE7" t="s">
        <v>69</v>
      </c>
      <c r="DF7" t="s">
        <v>148</v>
      </c>
      <c r="DG7" t="s">
        <v>69</v>
      </c>
      <c r="DH7">
        <v>132.119</v>
      </c>
      <c r="DI7" t="s">
        <v>69</v>
      </c>
      <c r="DJ7" t="s">
        <v>69</v>
      </c>
      <c r="DK7">
        <v>111</v>
      </c>
      <c r="DL7" t="s">
        <v>119</v>
      </c>
      <c r="DM7" t="s">
        <v>69</v>
      </c>
      <c r="DN7" t="s">
        <v>120</v>
      </c>
      <c r="DO7" t="s">
        <v>69</v>
      </c>
      <c r="DP7">
        <v>147.131</v>
      </c>
      <c r="DQ7" t="s">
        <v>69</v>
      </c>
      <c r="DR7" t="s">
        <v>69</v>
      </c>
      <c r="DS7">
        <v>112</v>
      </c>
      <c r="DT7" t="s">
        <v>76</v>
      </c>
      <c r="DU7" t="s">
        <v>69</v>
      </c>
      <c r="DV7" t="s">
        <v>75</v>
      </c>
      <c r="DW7" t="s">
        <v>69</v>
      </c>
      <c r="DX7">
        <v>146.18899999999999</v>
      </c>
      <c r="DY7" t="s">
        <v>69</v>
      </c>
      <c r="DZ7" t="s">
        <v>69</v>
      </c>
      <c r="EA7">
        <v>114</v>
      </c>
      <c r="EB7" t="s">
        <v>73</v>
      </c>
      <c r="EC7" t="s">
        <v>153</v>
      </c>
      <c r="ED7" t="s">
        <v>71</v>
      </c>
      <c r="EE7" t="s">
        <v>153</v>
      </c>
      <c r="EF7">
        <v>89.093999999999994</v>
      </c>
      <c r="EG7" t="s">
        <v>153</v>
      </c>
      <c r="EH7" t="s">
        <v>153</v>
      </c>
      <c r="EI7">
        <v>115</v>
      </c>
      <c r="EJ7" t="s">
        <v>70</v>
      </c>
      <c r="EK7" t="s">
        <v>69</v>
      </c>
      <c r="EL7" t="s">
        <v>71</v>
      </c>
      <c r="EM7" t="s">
        <v>69</v>
      </c>
      <c r="EN7">
        <v>75.066999999999993</v>
      </c>
      <c r="EO7" t="s">
        <v>69</v>
      </c>
      <c r="EP7" t="s">
        <v>69</v>
      </c>
      <c r="EQ7">
        <v>116</v>
      </c>
      <c r="ER7" t="s">
        <v>157</v>
      </c>
      <c r="ES7" t="s">
        <v>153</v>
      </c>
      <c r="ET7" t="s">
        <v>75</v>
      </c>
      <c r="EU7" t="s">
        <v>153</v>
      </c>
      <c r="EV7">
        <v>155.15600000000001</v>
      </c>
      <c r="EW7" t="s">
        <v>69</v>
      </c>
      <c r="EX7" t="s">
        <v>69</v>
      </c>
      <c r="EY7">
        <v>118</v>
      </c>
      <c r="EZ7" t="s">
        <v>147</v>
      </c>
      <c r="FA7" t="s">
        <v>153</v>
      </c>
      <c r="FB7" t="s">
        <v>148</v>
      </c>
      <c r="FC7" t="s">
        <v>153</v>
      </c>
      <c r="FD7">
        <v>146.14599999999999</v>
      </c>
      <c r="FE7" t="s">
        <v>69</v>
      </c>
      <c r="FF7" t="s">
        <v>69</v>
      </c>
      <c r="FG7">
        <v>122</v>
      </c>
      <c r="FH7" t="s">
        <v>115</v>
      </c>
      <c r="FI7" t="s">
        <v>69</v>
      </c>
      <c r="FJ7" t="s">
        <v>71</v>
      </c>
      <c r="FK7" t="s">
        <v>69</v>
      </c>
      <c r="FL7">
        <v>117.148</v>
      </c>
      <c r="FM7" t="s">
        <v>69</v>
      </c>
      <c r="FN7" t="s">
        <v>69</v>
      </c>
      <c r="FO7">
        <v>126</v>
      </c>
      <c r="FP7" t="s">
        <v>147</v>
      </c>
      <c r="FQ7" t="s">
        <v>153</v>
      </c>
      <c r="FR7" t="s">
        <v>148</v>
      </c>
      <c r="FS7" t="s">
        <v>153</v>
      </c>
      <c r="FT7">
        <v>146.14599999999999</v>
      </c>
      <c r="FU7" t="s">
        <v>69</v>
      </c>
      <c r="FV7" t="s">
        <v>69</v>
      </c>
    </row>
    <row r="8" spans="1:178" x14ac:dyDescent="0.25">
      <c r="A8">
        <v>7</v>
      </c>
      <c r="B8" t="str">
        <f>HYPERLINK("http://www.ncbi.nlm.nih.gov/protein/XP_036997875.1","XP_036997875.1")</f>
        <v>XP_036997875.1</v>
      </c>
      <c r="C8">
        <v>43357</v>
      </c>
      <c r="D8" t="str">
        <f>HYPERLINK("http://www.ncbi.nlm.nih.gov/Taxonomy/Browser/wwwtax.cgi?mode=Info&amp;id=9417&amp;lvl=3&amp;lin=f&amp;keep=1&amp;srchmode=1&amp;unlock","9417")</f>
        <v>9417</v>
      </c>
      <c r="E8" t="s">
        <v>66</v>
      </c>
      <c r="F8" t="str">
        <f>HYPERLINK("http://www.ncbi.nlm.nih.gov/Taxonomy/Browser/wwwtax.cgi?mode=Info&amp;id=9417&amp;lvl=3&amp;lin=f&amp;keep=1&amp;srchmode=1&amp;unlock","Artibeus jamaicensis")</f>
        <v>Artibeus jamaicensis</v>
      </c>
      <c r="G8" t="s">
        <v>257</v>
      </c>
      <c r="H8" t="str">
        <f>HYPERLINK("http://www.ncbi.nlm.nih.gov/protein/XP_036997875.1","bone marrow stromal antigen 2")</f>
        <v>bone marrow stromal antigen 2</v>
      </c>
      <c r="I8" t="s">
        <v>251</v>
      </c>
      <c r="J8" t="s">
        <v>153</v>
      </c>
      <c r="K8">
        <v>56</v>
      </c>
      <c r="L8" t="s">
        <v>73</v>
      </c>
      <c r="M8" t="s">
        <v>69</v>
      </c>
      <c r="N8" t="s">
        <v>71</v>
      </c>
      <c r="O8" t="s">
        <v>69</v>
      </c>
      <c r="P8">
        <v>89.093999999999994</v>
      </c>
      <c r="Q8" t="s">
        <v>69</v>
      </c>
      <c r="R8" t="s">
        <v>69</v>
      </c>
      <c r="S8">
        <v>57</v>
      </c>
      <c r="T8" t="s">
        <v>157</v>
      </c>
      <c r="U8" t="s">
        <v>153</v>
      </c>
      <c r="V8" t="s">
        <v>75</v>
      </c>
      <c r="W8" t="s">
        <v>153</v>
      </c>
      <c r="X8">
        <v>155.15600000000001</v>
      </c>
      <c r="Y8" t="s">
        <v>69</v>
      </c>
      <c r="Z8" t="s">
        <v>69</v>
      </c>
      <c r="AA8">
        <v>58</v>
      </c>
      <c r="AB8" t="s">
        <v>155</v>
      </c>
      <c r="AC8" t="s">
        <v>69</v>
      </c>
      <c r="AD8" t="s">
        <v>150</v>
      </c>
      <c r="AE8" t="s">
        <v>69</v>
      </c>
      <c r="AF8">
        <v>105.093</v>
      </c>
      <c r="AG8" t="s">
        <v>69</v>
      </c>
      <c r="AH8" t="s">
        <v>69</v>
      </c>
      <c r="AI8">
        <v>59</v>
      </c>
      <c r="AJ8" t="s">
        <v>72</v>
      </c>
      <c r="AK8" t="s">
        <v>153</v>
      </c>
      <c r="AL8" t="s">
        <v>71</v>
      </c>
      <c r="AM8" t="s">
        <v>153</v>
      </c>
      <c r="AN8">
        <v>131.17500000000001</v>
      </c>
      <c r="AO8" t="s">
        <v>69</v>
      </c>
      <c r="AP8" t="s">
        <v>69</v>
      </c>
      <c r="AQ8">
        <v>60</v>
      </c>
      <c r="AR8" t="s">
        <v>73</v>
      </c>
      <c r="AS8" t="s">
        <v>69</v>
      </c>
      <c r="AT8" t="s">
        <v>71</v>
      </c>
      <c r="AU8" t="s">
        <v>69</v>
      </c>
      <c r="AV8">
        <v>89.093999999999994</v>
      </c>
      <c r="AW8" t="s">
        <v>69</v>
      </c>
      <c r="AX8" t="s">
        <v>69</v>
      </c>
      <c r="AY8">
        <v>61</v>
      </c>
      <c r="AZ8" t="s">
        <v>249</v>
      </c>
      <c r="BA8" t="s">
        <v>69</v>
      </c>
      <c r="BB8" t="s">
        <v>117</v>
      </c>
      <c r="BC8" t="s">
        <v>69</v>
      </c>
      <c r="BD8">
        <v>121.154</v>
      </c>
      <c r="BE8" t="s">
        <v>69</v>
      </c>
      <c r="BF8" t="s">
        <v>69</v>
      </c>
      <c r="BG8">
        <v>92</v>
      </c>
      <c r="BH8" t="s">
        <v>149</v>
      </c>
      <c r="BI8" t="s">
        <v>153</v>
      </c>
      <c r="BJ8" t="s">
        <v>150</v>
      </c>
      <c r="BK8" t="s">
        <v>153</v>
      </c>
      <c r="BL8">
        <v>119.119</v>
      </c>
      <c r="BM8" t="s">
        <v>69</v>
      </c>
      <c r="BN8" t="s">
        <v>69</v>
      </c>
      <c r="BO8">
        <v>93</v>
      </c>
      <c r="BP8" t="s">
        <v>119</v>
      </c>
      <c r="BQ8" t="s">
        <v>69</v>
      </c>
      <c r="BR8" t="s">
        <v>120</v>
      </c>
      <c r="BS8" t="s">
        <v>69</v>
      </c>
      <c r="BT8">
        <v>147.131</v>
      </c>
      <c r="BU8" t="s">
        <v>69</v>
      </c>
      <c r="BV8" t="s">
        <v>69</v>
      </c>
      <c r="BW8">
        <v>95</v>
      </c>
      <c r="BX8" t="s">
        <v>147</v>
      </c>
      <c r="BY8" t="s">
        <v>69</v>
      </c>
      <c r="BZ8" t="s">
        <v>148</v>
      </c>
      <c r="CA8" t="s">
        <v>69</v>
      </c>
      <c r="CB8">
        <v>146.14599999999999</v>
      </c>
      <c r="CC8" t="s">
        <v>69</v>
      </c>
      <c r="CD8" t="s">
        <v>69</v>
      </c>
      <c r="CE8">
        <v>96</v>
      </c>
      <c r="CF8" t="s">
        <v>73</v>
      </c>
      <c r="CG8" t="s">
        <v>69</v>
      </c>
      <c r="CH8" t="s">
        <v>71</v>
      </c>
      <c r="CI8" t="s">
        <v>69</v>
      </c>
      <c r="CJ8">
        <v>89.093999999999994</v>
      </c>
      <c r="CK8" t="s">
        <v>69</v>
      </c>
      <c r="CL8" t="s">
        <v>69</v>
      </c>
      <c r="CM8">
        <v>97</v>
      </c>
      <c r="CN8" t="s">
        <v>73</v>
      </c>
      <c r="CO8" t="s">
        <v>69</v>
      </c>
      <c r="CP8" t="s">
        <v>71</v>
      </c>
      <c r="CQ8" t="s">
        <v>69</v>
      </c>
      <c r="CR8">
        <v>89.093999999999994</v>
      </c>
      <c r="CS8" t="s">
        <v>69</v>
      </c>
      <c r="CT8" t="s">
        <v>69</v>
      </c>
      <c r="CU8">
        <v>99</v>
      </c>
      <c r="CV8" t="s">
        <v>69</v>
      </c>
      <c r="CW8" t="s">
        <v>153</v>
      </c>
      <c r="CX8" t="s">
        <v>152</v>
      </c>
      <c r="CY8" t="s">
        <v>153</v>
      </c>
      <c r="CZ8">
        <v>181.191</v>
      </c>
      <c r="DA8" t="s">
        <v>153</v>
      </c>
      <c r="DB8" t="s">
        <v>153</v>
      </c>
      <c r="DC8">
        <v>100</v>
      </c>
      <c r="DD8" t="s">
        <v>153</v>
      </c>
      <c r="DE8" t="s">
        <v>69</v>
      </c>
      <c r="DF8" t="s">
        <v>148</v>
      </c>
      <c r="DG8" t="s">
        <v>69</v>
      </c>
      <c r="DH8">
        <v>132.119</v>
      </c>
      <c r="DI8" t="s">
        <v>69</v>
      </c>
      <c r="DJ8" t="s">
        <v>69</v>
      </c>
      <c r="DK8">
        <v>113</v>
      </c>
      <c r="DL8" t="s">
        <v>119</v>
      </c>
      <c r="DM8" t="s">
        <v>69</v>
      </c>
      <c r="DN8" t="s">
        <v>120</v>
      </c>
      <c r="DO8" t="s">
        <v>69</v>
      </c>
      <c r="DP8">
        <v>147.131</v>
      </c>
      <c r="DQ8" t="s">
        <v>69</v>
      </c>
      <c r="DR8" t="s">
        <v>69</v>
      </c>
      <c r="DS8">
        <v>114</v>
      </c>
      <c r="DT8" t="s">
        <v>147</v>
      </c>
      <c r="DU8" t="s">
        <v>153</v>
      </c>
      <c r="DV8" t="s">
        <v>148</v>
      </c>
      <c r="DW8" t="s">
        <v>153</v>
      </c>
      <c r="DX8">
        <v>146.14599999999999</v>
      </c>
      <c r="DY8" t="s">
        <v>69</v>
      </c>
      <c r="DZ8" t="s">
        <v>69</v>
      </c>
      <c r="EA8">
        <v>116</v>
      </c>
      <c r="EB8" t="s">
        <v>147</v>
      </c>
      <c r="EC8" t="s">
        <v>69</v>
      </c>
      <c r="ED8" t="s">
        <v>148</v>
      </c>
      <c r="EE8" t="s">
        <v>69</v>
      </c>
      <c r="EF8">
        <v>146.14599999999999</v>
      </c>
      <c r="EG8" t="s">
        <v>69</v>
      </c>
      <c r="EH8" t="s">
        <v>69</v>
      </c>
      <c r="EI8">
        <v>117</v>
      </c>
      <c r="EJ8" t="s">
        <v>70</v>
      </c>
      <c r="EK8" t="s">
        <v>69</v>
      </c>
      <c r="EL8" t="s">
        <v>71</v>
      </c>
      <c r="EM8" t="s">
        <v>69</v>
      </c>
      <c r="EN8">
        <v>75.066999999999993</v>
      </c>
      <c r="EO8" t="s">
        <v>69</v>
      </c>
      <c r="EP8" t="s">
        <v>69</v>
      </c>
      <c r="EQ8">
        <v>118</v>
      </c>
      <c r="ER8" t="s">
        <v>147</v>
      </c>
      <c r="ES8" t="s">
        <v>69</v>
      </c>
      <c r="ET8" t="s">
        <v>148</v>
      </c>
      <c r="EU8" t="s">
        <v>69</v>
      </c>
      <c r="EV8">
        <v>146.14599999999999</v>
      </c>
      <c r="EW8" t="s">
        <v>69</v>
      </c>
      <c r="EX8" t="s">
        <v>69</v>
      </c>
      <c r="EY8">
        <v>120</v>
      </c>
      <c r="EZ8" t="s">
        <v>72</v>
      </c>
      <c r="FA8" t="s">
        <v>153</v>
      </c>
      <c r="FB8" t="s">
        <v>71</v>
      </c>
      <c r="FC8" t="s">
        <v>153</v>
      </c>
      <c r="FD8">
        <v>131.17500000000001</v>
      </c>
      <c r="FE8" t="s">
        <v>69</v>
      </c>
      <c r="FF8" t="s">
        <v>69</v>
      </c>
      <c r="FG8">
        <v>124</v>
      </c>
      <c r="FH8" t="s">
        <v>115</v>
      </c>
      <c r="FI8" t="s">
        <v>69</v>
      </c>
      <c r="FJ8" t="s">
        <v>71</v>
      </c>
      <c r="FK8" t="s">
        <v>69</v>
      </c>
      <c r="FL8">
        <v>117.148</v>
      </c>
      <c r="FM8" t="s">
        <v>69</v>
      </c>
      <c r="FN8" t="s">
        <v>69</v>
      </c>
      <c r="FO8">
        <v>128</v>
      </c>
      <c r="FP8" t="s">
        <v>147</v>
      </c>
      <c r="FQ8" t="s">
        <v>153</v>
      </c>
      <c r="FR8" t="s">
        <v>148</v>
      </c>
      <c r="FS8" t="s">
        <v>153</v>
      </c>
      <c r="FT8">
        <v>146.14599999999999</v>
      </c>
      <c r="FU8" t="s">
        <v>69</v>
      </c>
      <c r="FV8" t="s">
        <v>69</v>
      </c>
    </row>
    <row r="9" spans="1:178" x14ac:dyDescent="0.25">
      <c r="A9">
        <v>7</v>
      </c>
      <c r="B9" t="str">
        <f>HYPERLINK("http://www.ncbi.nlm.nih.gov/protein/XP_027990208.1","XP_027990208.1")</f>
        <v>XP_027990208.1</v>
      </c>
      <c r="C9">
        <v>50028</v>
      </c>
      <c r="D9" t="str">
        <f>HYPERLINK("http://www.ncbi.nlm.nih.gov/Taxonomy/Browser/wwwtax.cgi?mode=Info&amp;id=29078&amp;lvl=3&amp;lin=f&amp;keep=1&amp;srchmode=1&amp;unlock","29078")</f>
        <v>29078</v>
      </c>
      <c r="E9" t="s">
        <v>66</v>
      </c>
      <c r="F9" t="str">
        <f>HYPERLINK("http://www.ncbi.nlm.nih.gov/Taxonomy/Browser/wwwtax.cgi?mode=Info&amp;id=29078&amp;lvl=3&amp;lin=f&amp;keep=1&amp;srchmode=1&amp;unlock","Eptesicus fuscus")</f>
        <v>Eptesicus fuscus</v>
      </c>
      <c r="G9" t="s">
        <v>258</v>
      </c>
      <c r="H9" t="str">
        <f>HYPERLINK("http://www.ncbi.nlm.nih.gov/protein/XP_027990208.1","bone marrow stromal antigen 2, partial")</f>
        <v>bone marrow stromal antigen 2, partial</v>
      </c>
      <c r="I9" t="s">
        <v>251</v>
      </c>
      <c r="J9" t="s">
        <v>153</v>
      </c>
      <c r="K9">
        <v>54</v>
      </c>
      <c r="L9" t="s">
        <v>156</v>
      </c>
      <c r="M9" t="s">
        <v>153</v>
      </c>
      <c r="N9" t="s">
        <v>120</v>
      </c>
      <c r="O9" t="s">
        <v>153</v>
      </c>
      <c r="P9">
        <v>133.10400000000001</v>
      </c>
      <c r="Q9" t="s">
        <v>153</v>
      </c>
      <c r="R9" t="s">
        <v>153</v>
      </c>
      <c r="S9">
        <v>55</v>
      </c>
      <c r="T9" t="s">
        <v>153</v>
      </c>
      <c r="U9" t="s">
        <v>69</v>
      </c>
      <c r="V9" t="s">
        <v>148</v>
      </c>
      <c r="W9" t="s">
        <v>69</v>
      </c>
      <c r="X9">
        <v>132.119</v>
      </c>
      <c r="Y9" t="s">
        <v>69</v>
      </c>
      <c r="Z9" t="s">
        <v>69</v>
      </c>
      <c r="AA9">
        <v>56</v>
      </c>
      <c r="AB9" t="s">
        <v>155</v>
      </c>
      <c r="AC9" t="s">
        <v>69</v>
      </c>
      <c r="AD9" t="s">
        <v>150</v>
      </c>
      <c r="AE9" t="s">
        <v>69</v>
      </c>
      <c r="AF9">
        <v>105.093</v>
      </c>
      <c r="AG9" t="s">
        <v>69</v>
      </c>
      <c r="AH9" t="s">
        <v>69</v>
      </c>
      <c r="AI9">
        <v>57</v>
      </c>
      <c r="AJ9" t="s">
        <v>146</v>
      </c>
      <c r="AK9" t="s">
        <v>153</v>
      </c>
      <c r="AL9" t="s">
        <v>71</v>
      </c>
      <c r="AM9" t="s">
        <v>153</v>
      </c>
      <c r="AN9">
        <v>115.13200000000001</v>
      </c>
      <c r="AO9" t="s">
        <v>153</v>
      </c>
      <c r="AP9" t="s">
        <v>153</v>
      </c>
      <c r="AQ9">
        <v>58</v>
      </c>
      <c r="AR9" t="s">
        <v>73</v>
      </c>
      <c r="AS9" t="s">
        <v>69</v>
      </c>
      <c r="AT9" t="s">
        <v>71</v>
      </c>
      <c r="AU9" t="s">
        <v>69</v>
      </c>
      <c r="AV9">
        <v>89.093999999999994</v>
      </c>
      <c r="AW9" t="s">
        <v>69</v>
      </c>
      <c r="AX9" t="s">
        <v>69</v>
      </c>
      <c r="AY9">
        <v>59</v>
      </c>
      <c r="AZ9" t="s">
        <v>249</v>
      </c>
      <c r="BA9" t="s">
        <v>69</v>
      </c>
      <c r="BB9" t="s">
        <v>117</v>
      </c>
      <c r="BC9" t="s">
        <v>69</v>
      </c>
      <c r="BD9">
        <v>121.154</v>
      </c>
      <c r="BE9" t="s">
        <v>69</v>
      </c>
      <c r="BF9" t="s">
        <v>69</v>
      </c>
      <c r="BG9">
        <v>90</v>
      </c>
      <c r="BH9" t="s">
        <v>149</v>
      </c>
      <c r="BI9" t="s">
        <v>153</v>
      </c>
      <c r="BJ9" t="s">
        <v>150</v>
      </c>
      <c r="BK9" t="s">
        <v>153</v>
      </c>
      <c r="BL9">
        <v>119.119</v>
      </c>
      <c r="BM9" t="s">
        <v>69</v>
      </c>
      <c r="BN9" t="s">
        <v>69</v>
      </c>
      <c r="BO9">
        <v>91</v>
      </c>
      <c r="BP9" t="s">
        <v>119</v>
      </c>
      <c r="BQ9" t="s">
        <v>69</v>
      </c>
      <c r="BR9" t="s">
        <v>120</v>
      </c>
      <c r="BS9" t="s">
        <v>69</v>
      </c>
      <c r="BT9">
        <v>147.131</v>
      </c>
      <c r="BU9" t="s">
        <v>69</v>
      </c>
      <c r="BV9" t="s">
        <v>69</v>
      </c>
      <c r="BW9">
        <v>93</v>
      </c>
      <c r="BX9" t="s">
        <v>147</v>
      </c>
      <c r="BY9" t="s">
        <v>69</v>
      </c>
      <c r="BZ9" t="s">
        <v>148</v>
      </c>
      <c r="CA9" t="s">
        <v>69</v>
      </c>
      <c r="CB9">
        <v>146.14599999999999</v>
      </c>
      <c r="CC9" t="s">
        <v>69</v>
      </c>
      <c r="CD9" t="s">
        <v>69</v>
      </c>
      <c r="CE9">
        <v>94</v>
      </c>
      <c r="CF9" t="s">
        <v>73</v>
      </c>
      <c r="CG9" t="s">
        <v>69</v>
      </c>
      <c r="CH9" t="s">
        <v>71</v>
      </c>
      <c r="CI9" t="s">
        <v>69</v>
      </c>
      <c r="CJ9">
        <v>89.093999999999994</v>
      </c>
      <c r="CK9" t="s">
        <v>69</v>
      </c>
      <c r="CL9" t="s">
        <v>69</v>
      </c>
      <c r="CM9">
        <v>95</v>
      </c>
      <c r="CN9" t="s">
        <v>73</v>
      </c>
      <c r="CO9" t="s">
        <v>69</v>
      </c>
      <c r="CP9" t="s">
        <v>71</v>
      </c>
      <c r="CQ9" t="s">
        <v>69</v>
      </c>
      <c r="CR9">
        <v>89.093999999999994</v>
      </c>
      <c r="CS9" t="s">
        <v>69</v>
      </c>
      <c r="CT9" t="s">
        <v>69</v>
      </c>
      <c r="CU9">
        <v>97</v>
      </c>
      <c r="CV9" t="s">
        <v>249</v>
      </c>
      <c r="CW9" t="s">
        <v>69</v>
      </c>
      <c r="CX9" t="s">
        <v>117</v>
      </c>
      <c r="CY9" t="s">
        <v>69</v>
      </c>
      <c r="CZ9">
        <v>121.154</v>
      </c>
      <c r="DA9" t="s">
        <v>69</v>
      </c>
      <c r="DB9" t="s">
        <v>69</v>
      </c>
      <c r="DC9">
        <v>98</v>
      </c>
      <c r="DD9" t="s">
        <v>153</v>
      </c>
      <c r="DE9" t="s">
        <v>69</v>
      </c>
      <c r="DF9" t="s">
        <v>148</v>
      </c>
      <c r="DG9" t="s">
        <v>69</v>
      </c>
      <c r="DH9">
        <v>132.119</v>
      </c>
      <c r="DI9" t="s">
        <v>69</v>
      </c>
      <c r="DJ9" t="s">
        <v>69</v>
      </c>
      <c r="DK9">
        <v>111</v>
      </c>
      <c r="DL9" t="s">
        <v>119</v>
      </c>
      <c r="DM9" t="s">
        <v>69</v>
      </c>
      <c r="DN9" t="s">
        <v>120</v>
      </c>
      <c r="DO9" t="s">
        <v>69</v>
      </c>
      <c r="DP9">
        <v>147.131</v>
      </c>
      <c r="DQ9" t="s">
        <v>69</v>
      </c>
      <c r="DR9" t="s">
        <v>69</v>
      </c>
      <c r="DS9">
        <v>112</v>
      </c>
      <c r="DT9" t="s">
        <v>76</v>
      </c>
      <c r="DU9" t="s">
        <v>69</v>
      </c>
      <c r="DV9" t="s">
        <v>75</v>
      </c>
      <c r="DW9" t="s">
        <v>69</v>
      </c>
      <c r="DX9">
        <v>146.18899999999999</v>
      </c>
      <c r="DY9" t="s">
        <v>69</v>
      </c>
      <c r="DZ9" t="s">
        <v>69</v>
      </c>
      <c r="EA9">
        <v>114</v>
      </c>
      <c r="EB9" t="s">
        <v>70</v>
      </c>
      <c r="EC9" t="s">
        <v>153</v>
      </c>
      <c r="ED9" t="s">
        <v>71</v>
      </c>
      <c r="EE9" t="s">
        <v>153</v>
      </c>
      <c r="EF9">
        <v>75.066999999999993</v>
      </c>
      <c r="EG9" t="s">
        <v>153</v>
      </c>
      <c r="EH9" t="s">
        <v>153</v>
      </c>
      <c r="EI9">
        <v>115</v>
      </c>
      <c r="EJ9" t="s">
        <v>155</v>
      </c>
      <c r="EK9" t="s">
        <v>153</v>
      </c>
      <c r="EL9" t="s">
        <v>150</v>
      </c>
      <c r="EM9" t="s">
        <v>153</v>
      </c>
      <c r="EN9">
        <v>105.093</v>
      </c>
      <c r="EO9" t="s">
        <v>153</v>
      </c>
      <c r="EP9" t="s">
        <v>153</v>
      </c>
      <c r="EQ9">
        <v>116</v>
      </c>
      <c r="ER9" t="s">
        <v>156</v>
      </c>
      <c r="ES9" t="s">
        <v>153</v>
      </c>
      <c r="ET9" t="s">
        <v>120</v>
      </c>
      <c r="EU9" t="s">
        <v>153</v>
      </c>
      <c r="EV9">
        <v>133.10400000000001</v>
      </c>
      <c r="EW9" t="s">
        <v>69</v>
      </c>
      <c r="EX9" t="s">
        <v>69</v>
      </c>
      <c r="EY9">
        <v>118</v>
      </c>
      <c r="EZ9" t="s">
        <v>147</v>
      </c>
      <c r="FA9" t="s">
        <v>153</v>
      </c>
      <c r="FB9" t="s">
        <v>148</v>
      </c>
      <c r="FC9" t="s">
        <v>153</v>
      </c>
      <c r="FD9">
        <v>146.14599999999999</v>
      </c>
      <c r="FE9" t="s">
        <v>69</v>
      </c>
      <c r="FF9" t="s">
        <v>69</v>
      </c>
      <c r="FG9">
        <v>122</v>
      </c>
      <c r="FH9" t="s">
        <v>115</v>
      </c>
      <c r="FI9" t="s">
        <v>69</v>
      </c>
      <c r="FJ9" t="s">
        <v>71</v>
      </c>
      <c r="FK9" t="s">
        <v>69</v>
      </c>
      <c r="FL9">
        <v>117.148</v>
      </c>
      <c r="FM9" t="s">
        <v>69</v>
      </c>
      <c r="FN9" t="s">
        <v>69</v>
      </c>
      <c r="FO9">
        <v>126</v>
      </c>
      <c r="FP9" t="s">
        <v>147</v>
      </c>
      <c r="FQ9" t="s">
        <v>153</v>
      </c>
      <c r="FR9" t="s">
        <v>148</v>
      </c>
      <c r="FS9" t="s">
        <v>153</v>
      </c>
      <c r="FT9">
        <v>146.14599999999999</v>
      </c>
      <c r="FU9" t="s">
        <v>69</v>
      </c>
      <c r="FV9" t="s">
        <v>69</v>
      </c>
    </row>
    <row r="10" spans="1:178" x14ac:dyDescent="0.25">
      <c r="A10">
        <v>7</v>
      </c>
      <c r="B10" t="str">
        <f>HYPERLINK("http://www.ncbi.nlm.nih.gov/protein/QWX94034.1","QWX94034.1")</f>
        <v>QWX94034.1</v>
      </c>
      <c r="C10">
        <v>29866</v>
      </c>
      <c r="D10" t="str">
        <f>HYPERLINK("http://www.ncbi.nlm.nih.gov/Taxonomy/Browser/wwwtax.cgi?mode=Info&amp;id=291302&amp;lvl=3&amp;lin=f&amp;keep=1&amp;srchmode=1&amp;unlock","291302")</f>
        <v>291302</v>
      </c>
      <c r="E10" t="s">
        <v>66</v>
      </c>
      <c r="F10" t="str">
        <f>HYPERLINK("http://www.ncbi.nlm.nih.gov/Taxonomy/Browser/wwwtax.cgi?mode=Info&amp;id=291302&amp;lvl=3&amp;lin=f&amp;keep=1&amp;srchmode=1&amp;unlock","Miniopterus natalensis")</f>
        <v>Miniopterus natalensis</v>
      </c>
      <c r="G10" t="s">
        <v>256</v>
      </c>
      <c r="H10" t="str">
        <f>HYPERLINK("http://www.ncbi.nlm.nih.gov/protein/QWX94034.1","BST-2")</f>
        <v>BST-2</v>
      </c>
      <c r="I10" t="s">
        <v>251</v>
      </c>
      <c r="J10" t="s">
        <v>153</v>
      </c>
      <c r="K10">
        <v>51</v>
      </c>
      <c r="L10" t="s">
        <v>72</v>
      </c>
      <c r="M10" t="s">
        <v>153</v>
      </c>
      <c r="N10" t="s">
        <v>71</v>
      </c>
      <c r="O10" t="s">
        <v>69</v>
      </c>
      <c r="P10">
        <v>131.17500000000001</v>
      </c>
      <c r="Q10" t="s">
        <v>153</v>
      </c>
      <c r="R10" t="s">
        <v>69</v>
      </c>
      <c r="S10">
        <v>52</v>
      </c>
      <c r="T10" t="s">
        <v>153</v>
      </c>
      <c r="U10" t="s">
        <v>69</v>
      </c>
      <c r="V10" t="s">
        <v>148</v>
      </c>
      <c r="W10" t="s">
        <v>69</v>
      </c>
      <c r="X10">
        <v>132.119</v>
      </c>
      <c r="Y10" t="s">
        <v>69</v>
      </c>
      <c r="Z10" t="s">
        <v>69</v>
      </c>
      <c r="AA10">
        <v>53</v>
      </c>
      <c r="AB10" t="s">
        <v>155</v>
      </c>
      <c r="AC10" t="s">
        <v>69</v>
      </c>
      <c r="AD10" t="s">
        <v>150</v>
      </c>
      <c r="AE10" t="s">
        <v>69</v>
      </c>
      <c r="AF10">
        <v>105.093</v>
      </c>
      <c r="AG10" t="s">
        <v>69</v>
      </c>
      <c r="AH10" t="s">
        <v>69</v>
      </c>
      <c r="AI10">
        <v>54</v>
      </c>
      <c r="AJ10" t="s">
        <v>145</v>
      </c>
      <c r="AK10" t="s">
        <v>153</v>
      </c>
      <c r="AL10" t="s">
        <v>71</v>
      </c>
      <c r="AM10" t="s">
        <v>153</v>
      </c>
      <c r="AN10">
        <v>131.17500000000001</v>
      </c>
      <c r="AO10" t="s">
        <v>69</v>
      </c>
      <c r="AP10" t="s">
        <v>69</v>
      </c>
      <c r="AQ10">
        <v>55</v>
      </c>
      <c r="AR10" t="s">
        <v>149</v>
      </c>
      <c r="AS10" t="s">
        <v>153</v>
      </c>
      <c r="AT10" t="s">
        <v>150</v>
      </c>
      <c r="AU10" t="s">
        <v>153</v>
      </c>
      <c r="AV10">
        <v>119.119</v>
      </c>
      <c r="AW10" t="s">
        <v>153</v>
      </c>
      <c r="AX10" t="s">
        <v>153</v>
      </c>
      <c r="AY10">
        <v>56</v>
      </c>
      <c r="AZ10" t="s">
        <v>249</v>
      </c>
      <c r="BA10" t="s">
        <v>69</v>
      </c>
      <c r="BB10" t="s">
        <v>117</v>
      </c>
      <c r="BC10" t="s">
        <v>69</v>
      </c>
      <c r="BD10">
        <v>121.154</v>
      </c>
      <c r="BE10" t="s">
        <v>69</v>
      </c>
      <c r="BF10" t="s">
        <v>69</v>
      </c>
      <c r="BG10">
        <v>86</v>
      </c>
      <c r="BH10" t="s">
        <v>149</v>
      </c>
      <c r="BI10" t="s">
        <v>153</v>
      </c>
      <c r="BJ10" t="s">
        <v>150</v>
      </c>
      <c r="BK10" t="s">
        <v>153</v>
      </c>
      <c r="BL10">
        <v>119.119</v>
      </c>
      <c r="BM10" t="s">
        <v>69</v>
      </c>
      <c r="BN10" t="s">
        <v>69</v>
      </c>
      <c r="BO10">
        <v>87</v>
      </c>
      <c r="BP10" t="s">
        <v>153</v>
      </c>
      <c r="BQ10" t="s">
        <v>153</v>
      </c>
      <c r="BR10" t="s">
        <v>148</v>
      </c>
      <c r="BS10" t="s">
        <v>153</v>
      </c>
      <c r="BT10">
        <v>132.119</v>
      </c>
      <c r="BU10" t="s">
        <v>69</v>
      </c>
      <c r="BV10" t="s">
        <v>69</v>
      </c>
      <c r="BW10" t="s">
        <v>159</v>
      </c>
      <c r="BX10" t="s">
        <v>159</v>
      </c>
      <c r="BY10" t="s">
        <v>153</v>
      </c>
      <c r="BZ10" t="s">
        <v>159</v>
      </c>
      <c r="CA10" t="s">
        <v>153</v>
      </c>
      <c r="CB10" t="s">
        <v>159</v>
      </c>
      <c r="CC10" t="s">
        <v>153</v>
      </c>
      <c r="CD10" t="s">
        <v>153</v>
      </c>
      <c r="CE10" t="s">
        <v>159</v>
      </c>
      <c r="CF10" t="s">
        <v>159</v>
      </c>
      <c r="CG10" t="s">
        <v>153</v>
      </c>
      <c r="CH10" t="s">
        <v>159</v>
      </c>
      <c r="CI10" t="s">
        <v>153</v>
      </c>
      <c r="CJ10" t="s">
        <v>159</v>
      </c>
      <c r="CK10" t="s">
        <v>153</v>
      </c>
      <c r="CL10" t="s">
        <v>153</v>
      </c>
      <c r="CM10">
        <v>88</v>
      </c>
      <c r="CN10" t="s">
        <v>73</v>
      </c>
      <c r="CO10" t="s">
        <v>69</v>
      </c>
      <c r="CP10" t="s">
        <v>71</v>
      </c>
      <c r="CQ10" t="s">
        <v>69</v>
      </c>
      <c r="CR10">
        <v>89.093999999999994</v>
      </c>
      <c r="CS10" t="s">
        <v>69</v>
      </c>
      <c r="CT10" t="s">
        <v>69</v>
      </c>
      <c r="CU10">
        <v>90</v>
      </c>
      <c r="CV10" t="s">
        <v>249</v>
      </c>
      <c r="CW10" t="s">
        <v>69</v>
      </c>
      <c r="CX10" t="s">
        <v>117</v>
      </c>
      <c r="CY10" t="s">
        <v>69</v>
      </c>
      <c r="CZ10">
        <v>121.154</v>
      </c>
      <c r="DA10" t="s">
        <v>69</v>
      </c>
      <c r="DB10" t="s">
        <v>69</v>
      </c>
      <c r="DC10">
        <v>91</v>
      </c>
      <c r="DD10" t="s">
        <v>153</v>
      </c>
      <c r="DE10" t="s">
        <v>69</v>
      </c>
      <c r="DF10" t="s">
        <v>148</v>
      </c>
      <c r="DG10" t="s">
        <v>69</v>
      </c>
      <c r="DH10">
        <v>132.119</v>
      </c>
      <c r="DI10" t="s">
        <v>69</v>
      </c>
      <c r="DJ10" t="s">
        <v>69</v>
      </c>
      <c r="DK10">
        <v>104</v>
      </c>
      <c r="DL10" t="s">
        <v>119</v>
      </c>
      <c r="DM10" t="s">
        <v>69</v>
      </c>
      <c r="DN10" t="s">
        <v>120</v>
      </c>
      <c r="DO10" t="s">
        <v>69</v>
      </c>
      <c r="DP10">
        <v>147.131</v>
      </c>
      <c r="DQ10" t="s">
        <v>69</v>
      </c>
      <c r="DR10" t="s">
        <v>69</v>
      </c>
      <c r="DS10">
        <v>105</v>
      </c>
      <c r="DT10" t="s">
        <v>147</v>
      </c>
      <c r="DU10" t="s">
        <v>153</v>
      </c>
      <c r="DV10" t="s">
        <v>148</v>
      </c>
      <c r="DW10" t="s">
        <v>153</v>
      </c>
      <c r="DX10">
        <v>146.14599999999999</v>
      </c>
      <c r="DY10" t="s">
        <v>69</v>
      </c>
      <c r="DZ10" t="s">
        <v>69</v>
      </c>
      <c r="EA10">
        <v>107</v>
      </c>
      <c r="EB10" t="s">
        <v>147</v>
      </c>
      <c r="EC10" t="s">
        <v>69</v>
      </c>
      <c r="ED10" t="s">
        <v>148</v>
      </c>
      <c r="EE10" t="s">
        <v>69</v>
      </c>
      <c r="EF10">
        <v>146.14599999999999</v>
      </c>
      <c r="EG10" t="s">
        <v>69</v>
      </c>
      <c r="EH10" t="s">
        <v>69</v>
      </c>
      <c r="EI10">
        <v>108</v>
      </c>
      <c r="EJ10" t="s">
        <v>70</v>
      </c>
      <c r="EK10" t="s">
        <v>69</v>
      </c>
      <c r="EL10" t="s">
        <v>71</v>
      </c>
      <c r="EM10" t="s">
        <v>69</v>
      </c>
      <c r="EN10">
        <v>75.066999999999993</v>
      </c>
      <c r="EO10" t="s">
        <v>69</v>
      </c>
      <c r="EP10" t="s">
        <v>69</v>
      </c>
      <c r="EQ10">
        <v>109</v>
      </c>
      <c r="ER10" t="s">
        <v>157</v>
      </c>
      <c r="ES10" t="s">
        <v>153</v>
      </c>
      <c r="ET10" t="s">
        <v>75</v>
      </c>
      <c r="EU10" t="s">
        <v>153</v>
      </c>
      <c r="EV10">
        <v>155.15600000000001</v>
      </c>
      <c r="EW10" t="s">
        <v>69</v>
      </c>
      <c r="EX10" t="s">
        <v>69</v>
      </c>
      <c r="EY10">
        <v>111</v>
      </c>
      <c r="EZ10" t="s">
        <v>147</v>
      </c>
      <c r="FA10" t="s">
        <v>153</v>
      </c>
      <c r="FB10" t="s">
        <v>148</v>
      </c>
      <c r="FC10" t="s">
        <v>153</v>
      </c>
      <c r="FD10">
        <v>146.14599999999999</v>
      </c>
      <c r="FE10" t="s">
        <v>69</v>
      </c>
      <c r="FF10" t="s">
        <v>69</v>
      </c>
      <c r="FG10">
        <v>115</v>
      </c>
      <c r="FH10" t="s">
        <v>115</v>
      </c>
      <c r="FI10" t="s">
        <v>69</v>
      </c>
      <c r="FJ10" t="s">
        <v>71</v>
      </c>
      <c r="FK10" t="s">
        <v>69</v>
      </c>
      <c r="FL10">
        <v>117.148</v>
      </c>
      <c r="FM10" t="s">
        <v>69</v>
      </c>
      <c r="FN10" t="s">
        <v>69</v>
      </c>
      <c r="FO10">
        <v>119</v>
      </c>
      <c r="FP10" t="s">
        <v>147</v>
      </c>
      <c r="FQ10" t="s">
        <v>153</v>
      </c>
      <c r="FR10" t="s">
        <v>148</v>
      </c>
      <c r="FS10" t="s">
        <v>153</v>
      </c>
      <c r="FT10">
        <v>146.14599999999999</v>
      </c>
      <c r="FU10" t="s">
        <v>69</v>
      </c>
      <c r="FV10" t="s">
        <v>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3"/>
  <sheetViews>
    <sheetView workbookViewId="0"/>
  </sheetViews>
  <sheetFormatPr defaultRowHeight="15" x14ac:dyDescent="0.25"/>
  <cols>
    <col min="8" max="8" width="51.85546875" customWidth="1"/>
  </cols>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row>
    <row r="2" spans="1:74" x14ac:dyDescent="0.25">
      <c r="A2">
        <v>7</v>
      </c>
      <c r="B2" t="str">
        <f>HYPERLINK("http://www.ncbi.nlm.nih.gov/protein/NP_005745.1","NP_005745.1")</f>
        <v>NP_005745.1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HYPERLINK("http://www.ncbi.nlm.nih.gov/protein/NP_005745.1","ras GTPase-activating protein-binding protein 1")</f>
        <v>ras GTPase-activating protein-binding protein 1</v>
      </c>
      <c r="I2" t="s">
        <v>259</v>
      </c>
      <c r="J2" t="s">
        <v>69</v>
      </c>
      <c r="K2">
        <v>15</v>
      </c>
      <c r="L2" t="s">
        <v>151</v>
      </c>
      <c r="M2" t="s">
        <v>69</v>
      </c>
      <c r="N2" t="s">
        <v>152</v>
      </c>
      <c r="O2" t="s">
        <v>69</v>
      </c>
      <c r="P2">
        <v>165.19200000000001</v>
      </c>
      <c r="Q2" t="s">
        <v>69</v>
      </c>
      <c r="R2" t="s">
        <v>69</v>
      </c>
      <c r="S2">
        <v>18</v>
      </c>
      <c r="T2" t="s">
        <v>147</v>
      </c>
      <c r="U2" t="s">
        <v>69</v>
      </c>
      <c r="V2" t="s">
        <v>148</v>
      </c>
      <c r="W2" t="s">
        <v>69</v>
      </c>
      <c r="X2">
        <v>146.14599999999999</v>
      </c>
      <c r="Y2" t="s">
        <v>69</v>
      </c>
      <c r="Z2" t="s">
        <v>69</v>
      </c>
      <c r="AA2">
        <v>32</v>
      </c>
      <c r="AB2" t="s">
        <v>74</v>
      </c>
      <c r="AC2" t="s">
        <v>69</v>
      </c>
      <c r="AD2" t="s">
        <v>75</v>
      </c>
      <c r="AE2" t="s">
        <v>69</v>
      </c>
      <c r="AF2">
        <v>174.203</v>
      </c>
      <c r="AG2" t="s">
        <v>69</v>
      </c>
      <c r="AH2" t="s">
        <v>69</v>
      </c>
      <c r="AI2">
        <v>34</v>
      </c>
      <c r="AJ2" t="s">
        <v>69</v>
      </c>
      <c r="AK2" t="s">
        <v>69</v>
      </c>
      <c r="AL2" t="s">
        <v>152</v>
      </c>
      <c r="AM2" t="s">
        <v>69</v>
      </c>
      <c r="AN2">
        <v>181.191</v>
      </c>
      <c r="AO2" t="s">
        <v>69</v>
      </c>
      <c r="AP2" t="s">
        <v>69</v>
      </c>
      <c r="AQ2">
        <v>117</v>
      </c>
      <c r="AR2" t="s">
        <v>119</v>
      </c>
      <c r="AS2" t="s">
        <v>69</v>
      </c>
      <c r="AT2" t="s">
        <v>120</v>
      </c>
      <c r="AU2" t="s">
        <v>69</v>
      </c>
      <c r="AV2">
        <v>147.131</v>
      </c>
      <c r="AW2" t="s">
        <v>69</v>
      </c>
      <c r="AX2" t="s">
        <v>69</v>
      </c>
      <c r="AY2">
        <v>122</v>
      </c>
      <c r="AZ2" t="s">
        <v>153</v>
      </c>
      <c r="BA2" t="s">
        <v>69</v>
      </c>
      <c r="BB2" t="s">
        <v>148</v>
      </c>
      <c r="BC2" t="s">
        <v>69</v>
      </c>
      <c r="BD2">
        <v>132.119</v>
      </c>
      <c r="BE2" t="s">
        <v>69</v>
      </c>
      <c r="BF2" t="s">
        <v>69</v>
      </c>
      <c r="BG2">
        <v>123</v>
      </c>
      <c r="BH2" t="s">
        <v>76</v>
      </c>
      <c r="BI2" t="s">
        <v>69</v>
      </c>
      <c r="BJ2" t="s">
        <v>75</v>
      </c>
      <c r="BK2" t="s">
        <v>69</v>
      </c>
      <c r="BL2">
        <v>146.18899999999999</v>
      </c>
      <c r="BM2" t="s">
        <v>69</v>
      </c>
      <c r="BN2" t="s">
        <v>69</v>
      </c>
      <c r="BO2">
        <v>124</v>
      </c>
      <c r="BP2" t="s">
        <v>151</v>
      </c>
      <c r="BQ2" t="s">
        <v>69</v>
      </c>
      <c r="BR2" t="s">
        <v>152</v>
      </c>
      <c r="BS2" t="s">
        <v>69</v>
      </c>
      <c r="BT2">
        <v>165.19200000000001</v>
      </c>
      <c r="BU2" t="s">
        <v>69</v>
      </c>
      <c r="BV2" t="s">
        <v>69</v>
      </c>
    </row>
    <row r="3" spans="1:74" x14ac:dyDescent="0.25">
      <c r="A3">
        <v>7</v>
      </c>
      <c r="B3" t="str">
        <f>HYPERLINK("http://www.ncbi.nlm.nih.gov/protein/XP_018883045.1","XP_018883045.1")</f>
        <v>XP_018883045.1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HYPERLINK("http://www.ncbi.nlm.nih.gov/protein/XP_018883045.1","ras GTPase-activating protein-binding protein 1")</f>
        <v>ras GTPase-activating protein-binding protein 1</v>
      </c>
      <c r="I3" t="s">
        <v>259</v>
      </c>
      <c r="J3" t="s">
        <v>69</v>
      </c>
      <c r="K3">
        <v>15</v>
      </c>
      <c r="L3" t="s">
        <v>151</v>
      </c>
      <c r="M3" t="s">
        <v>69</v>
      </c>
      <c r="N3" t="s">
        <v>152</v>
      </c>
      <c r="O3" t="s">
        <v>69</v>
      </c>
      <c r="P3">
        <v>165.19200000000001</v>
      </c>
      <c r="Q3" t="s">
        <v>69</v>
      </c>
      <c r="R3" t="s">
        <v>69</v>
      </c>
      <c r="S3">
        <v>18</v>
      </c>
      <c r="T3" t="s">
        <v>147</v>
      </c>
      <c r="U3" t="s">
        <v>69</v>
      </c>
      <c r="V3" t="s">
        <v>148</v>
      </c>
      <c r="W3" t="s">
        <v>69</v>
      </c>
      <c r="X3">
        <v>146.14599999999999</v>
      </c>
      <c r="Y3" t="s">
        <v>69</v>
      </c>
      <c r="Z3" t="s">
        <v>69</v>
      </c>
      <c r="AA3">
        <v>32</v>
      </c>
      <c r="AB3" t="s">
        <v>74</v>
      </c>
      <c r="AC3" t="s">
        <v>69</v>
      </c>
      <c r="AD3" t="s">
        <v>75</v>
      </c>
      <c r="AE3" t="s">
        <v>69</v>
      </c>
      <c r="AF3">
        <v>174.203</v>
      </c>
      <c r="AG3" t="s">
        <v>69</v>
      </c>
      <c r="AH3" t="s">
        <v>69</v>
      </c>
      <c r="AI3">
        <v>34</v>
      </c>
      <c r="AJ3" t="s">
        <v>69</v>
      </c>
      <c r="AK3" t="s">
        <v>69</v>
      </c>
      <c r="AL3" t="s">
        <v>152</v>
      </c>
      <c r="AM3" t="s">
        <v>69</v>
      </c>
      <c r="AN3">
        <v>181.191</v>
      </c>
      <c r="AO3" t="s">
        <v>69</v>
      </c>
      <c r="AP3" t="s">
        <v>69</v>
      </c>
      <c r="AQ3">
        <v>117</v>
      </c>
      <c r="AR3" t="s">
        <v>119</v>
      </c>
      <c r="AS3" t="s">
        <v>69</v>
      </c>
      <c r="AT3" t="s">
        <v>120</v>
      </c>
      <c r="AU3" t="s">
        <v>69</v>
      </c>
      <c r="AV3">
        <v>147.131</v>
      </c>
      <c r="AW3" t="s">
        <v>69</v>
      </c>
      <c r="AX3" t="s">
        <v>69</v>
      </c>
      <c r="AY3">
        <v>122</v>
      </c>
      <c r="AZ3" t="s">
        <v>153</v>
      </c>
      <c r="BA3" t="s">
        <v>69</v>
      </c>
      <c r="BB3" t="s">
        <v>148</v>
      </c>
      <c r="BC3" t="s">
        <v>69</v>
      </c>
      <c r="BD3">
        <v>132.119</v>
      </c>
      <c r="BE3" t="s">
        <v>69</v>
      </c>
      <c r="BF3" t="s">
        <v>69</v>
      </c>
      <c r="BG3">
        <v>123</v>
      </c>
      <c r="BH3" t="s">
        <v>76</v>
      </c>
      <c r="BI3" t="s">
        <v>69</v>
      </c>
      <c r="BJ3" t="s">
        <v>75</v>
      </c>
      <c r="BK3" t="s">
        <v>69</v>
      </c>
      <c r="BL3">
        <v>146.18899999999999</v>
      </c>
      <c r="BM3" t="s">
        <v>69</v>
      </c>
      <c r="BN3" t="s">
        <v>69</v>
      </c>
      <c r="BO3">
        <v>124</v>
      </c>
      <c r="BP3" t="s">
        <v>151</v>
      </c>
      <c r="BQ3" t="s">
        <v>69</v>
      </c>
      <c r="BR3" t="s">
        <v>152</v>
      </c>
      <c r="BS3" t="s">
        <v>69</v>
      </c>
      <c r="BT3">
        <v>165.19200000000001</v>
      </c>
      <c r="BU3" t="s">
        <v>69</v>
      </c>
      <c r="BV3" t="s">
        <v>69</v>
      </c>
    </row>
    <row r="4" spans="1:74" x14ac:dyDescent="0.25">
      <c r="A4">
        <v>7</v>
      </c>
      <c r="B4" t="str">
        <f>HYPERLINK("http://www.ncbi.nlm.nih.gov/protein/XP_035144871.1","XP_035144871.1")</f>
        <v>XP_035144871.1</v>
      </c>
      <c r="C4">
        <v>87664</v>
      </c>
      <c r="D4" t="str">
        <f>HYPERLINK("http://www.ncbi.nlm.nih.gov/Taxonomy/Browser/wwwtax.cgi?mode=Info&amp;id=9483&amp;lvl=3&amp;lin=f&amp;keep=1&amp;srchmode=1&amp;unlock","9483")</f>
        <v>9483</v>
      </c>
      <c r="E4" t="s">
        <v>66</v>
      </c>
      <c r="F4" t="str">
        <f>HYPERLINK("http://www.ncbi.nlm.nih.gov/Taxonomy/Browser/wwwtax.cgi?mode=Info&amp;id=9483&amp;lvl=3&amp;lin=f&amp;keep=1&amp;srchmode=1&amp;unlock","Callithrix jacchus")</f>
        <v>Callithrix jacchus</v>
      </c>
      <c r="G4" t="s">
        <v>106</v>
      </c>
      <c r="H4" t="str">
        <f>HYPERLINK("http://www.ncbi.nlm.nih.gov/protein/XP_035144871.1","ras GTPase-activating protein-binding protein 1 isoform X1")</f>
        <v>ras GTPase-activating protein-binding protein 1 isoform X1</v>
      </c>
      <c r="I4" t="s">
        <v>259</v>
      </c>
      <c r="J4" t="s">
        <v>69</v>
      </c>
      <c r="K4">
        <v>125</v>
      </c>
      <c r="L4" t="s">
        <v>151</v>
      </c>
      <c r="M4" t="s">
        <v>69</v>
      </c>
      <c r="N4" t="s">
        <v>152</v>
      </c>
      <c r="O4" t="s">
        <v>69</v>
      </c>
      <c r="P4">
        <v>165.19200000000001</v>
      </c>
      <c r="Q4" t="s">
        <v>69</v>
      </c>
      <c r="R4" t="s">
        <v>69</v>
      </c>
      <c r="S4">
        <v>128</v>
      </c>
      <c r="T4" t="s">
        <v>147</v>
      </c>
      <c r="U4" t="s">
        <v>69</v>
      </c>
      <c r="V4" t="s">
        <v>148</v>
      </c>
      <c r="W4" t="s">
        <v>69</v>
      </c>
      <c r="X4">
        <v>146.14599999999999</v>
      </c>
      <c r="Y4" t="s">
        <v>69</v>
      </c>
      <c r="Z4" t="s">
        <v>69</v>
      </c>
      <c r="AA4">
        <v>142</v>
      </c>
      <c r="AB4" t="s">
        <v>74</v>
      </c>
      <c r="AC4" t="s">
        <v>69</v>
      </c>
      <c r="AD4" t="s">
        <v>75</v>
      </c>
      <c r="AE4" t="s">
        <v>69</v>
      </c>
      <c r="AF4">
        <v>174.203</v>
      </c>
      <c r="AG4" t="s">
        <v>69</v>
      </c>
      <c r="AH4" t="s">
        <v>69</v>
      </c>
      <c r="AI4">
        <v>144</v>
      </c>
      <c r="AJ4" t="s">
        <v>69</v>
      </c>
      <c r="AK4" t="s">
        <v>69</v>
      </c>
      <c r="AL4" t="s">
        <v>152</v>
      </c>
      <c r="AM4" t="s">
        <v>69</v>
      </c>
      <c r="AN4">
        <v>181.191</v>
      </c>
      <c r="AO4" t="s">
        <v>69</v>
      </c>
      <c r="AP4" t="s">
        <v>69</v>
      </c>
      <c r="AQ4">
        <v>227</v>
      </c>
      <c r="AR4" t="s">
        <v>119</v>
      </c>
      <c r="AS4" t="s">
        <v>69</v>
      </c>
      <c r="AT4" t="s">
        <v>120</v>
      </c>
      <c r="AU4" t="s">
        <v>69</v>
      </c>
      <c r="AV4">
        <v>147.131</v>
      </c>
      <c r="AW4" t="s">
        <v>69</v>
      </c>
      <c r="AX4" t="s">
        <v>69</v>
      </c>
      <c r="AY4">
        <v>232</v>
      </c>
      <c r="AZ4" t="s">
        <v>153</v>
      </c>
      <c r="BA4" t="s">
        <v>69</v>
      </c>
      <c r="BB4" t="s">
        <v>148</v>
      </c>
      <c r="BC4" t="s">
        <v>69</v>
      </c>
      <c r="BD4">
        <v>132.119</v>
      </c>
      <c r="BE4" t="s">
        <v>69</v>
      </c>
      <c r="BF4" t="s">
        <v>69</v>
      </c>
      <c r="BG4">
        <v>233</v>
      </c>
      <c r="BH4" t="s">
        <v>76</v>
      </c>
      <c r="BI4" t="s">
        <v>69</v>
      </c>
      <c r="BJ4" t="s">
        <v>75</v>
      </c>
      <c r="BK4" t="s">
        <v>69</v>
      </c>
      <c r="BL4">
        <v>146.18899999999999</v>
      </c>
      <c r="BM4" t="s">
        <v>69</v>
      </c>
      <c r="BN4" t="s">
        <v>69</v>
      </c>
      <c r="BO4">
        <v>234</v>
      </c>
      <c r="BP4" t="s">
        <v>151</v>
      </c>
      <c r="BQ4" t="s">
        <v>69</v>
      </c>
      <c r="BR4" t="s">
        <v>152</v>
      </c>
      <c r="BS4" t="s">
        <v>69</v>
      </c>
      <c r="BT4">
        <v>165.19200000000001</v>
      </c>
      <c r="BU4" t="s">
        <v>69</v>
      </c>
      <c r="BV4" t="s">
        <v>69</v>
      </c>
    </row>
    <row r="5" spans="1:74" x14ac:dyDescent="0.25">
      <c r="A5">
        <v>7</v>
      </c>
      <c r="B5" t="str">
        <f>HYPERLINK("http://www.ncbi.nlm.nih.gov/protein/NP_001248671.1","NP_001248671.1")</f>
        <v>NP_001248671.1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HYPERLINK("http://www.ncbi.nlm.nih.gov/protein/NP_001248671.1","ras GTPase-activating protein-binding protein 1")</f>
        <v>ras GTPase-activating protein-binding protein 1</v>
      </c>
      <c r="I5" t="s">
        <v>259</v>
      </c>
      <c r="J5" t="s">
        <v>69</v>
      </c>
      <c r="K5">
        <v>15</v>
      </c>
      <c r="L5" t="s">
        <v>151</v>
      </c>
      <c r="M5" t="s">
        <v>69</v>
      </c>
      <c r="N5" t="s">
        <v>152</v>
      </c>
      <c r="O5" t="s">
        <v>69</v>
      </c>
      <c r="P5">
        <v>165.19200000000001</v>
      </c>
      <c r="Q5" t="s">
        <v>69</v>
      </c>
      <c r="R5" t="s">
        <v>69</v>
      </c>
      <c r="S5">
        <v>18</v>
      </c>
      <c r="T5" t="s">
        <v>147</v>
      </c>
      <c r="U5" t="s">
        <v>69</v>
      </c>
      <c r="V5" t="s">
        <v>148</v>
      </c>
      <c r="W5" t="s">
        <v>69</v>
      </c>
      <c r="X5">
        <v>146.14599999999999</v>
      </c>
      <c r="Y5" t="s">
        <v>69</v>
      </c>
      <c r="Z5" t="s">
        <v>69</v>
      </c>
      <c r="AA5">
        <v>32</v>
      </c>
      <c r="AB5" t="s">
        <v>74</v>
      </c>
      <c r="AC5" t="s">
        <v>69</v>
      </c>
      <c r="AD5" t="s">
        <v>75</v>
      </c>
      <c r="AE5" t="s">
        <v>69</v>
      </c>
      <c r="AF5">
        <v>174.203</v>
      </c>
      <c r="AG5" t="s">
        <v>69</v>
      </c>
      <c r="AH5" t="s">
        <v>69</v>
      </c>
      <c r="AI5">
        <v>34</v>
      </c>
      <c r="AJ5" t="s">
        <v>69</v>
      </c>
      <c r="AK5" t="s">
        <v>69</v>
      </c>
      <c r="AL5" t="s">
        <v>152</v>
      </c>
      <c r="AM5" t="s">
        <v>69</v>
      </c>
      <c r="AN5">
        <v>181.191</v>
      </c>
      <c r="AO5" t="s">
        <v>69</v>
      </c>
      <c r="AP5" t="s">
        <v>69</v>
      </c>
      <c r="AQ5">
        <v>117</v>
      </c>
      <c r="AR5" t="s">
        <v>119</v>
      </c>
      <c r="AS5" t="s">
        <v>69</v>
      </c>
      <c r="AT5" t="s">
        <v>120</v>
      </c>
      <c r="AU5" t="s">
        <v>69</v>
      </c>
      <c r="AV5">
        <v>147.131</v>
      </c>
      <c r="AW5" t="s">
        <v>69</v>
      </c>
      <c r="AX5" t="s">
        <v>69</v>
      </c>
      <c r="AY5">
        <v>122</v>
      </c>
      <c r="AZ5" t="s">
        <v>153</v>
      </c>
      <c r="BA5" t="s">
        <v>69</v>
      </c>
      <c r="BB5" t="s">
        <v>148</v>
      </c>
      <c r="BC5" t="s">
        <v>69</v>
      </c>
      <c r="BD5">
        <v>132.119</v>
      </c>
      <c r="BE5" t="s">
        <v>69</v>
      </c>
      <c r="BF5" t="s">
        <v>69</v>
      </c>
      <c r="BG5">
        <v>123</v>
      </c>
      <c r="BH5" t="s">
        <v>76</v>
      </c>
      <c r="BI5" t="s">
        <v>69</v>
      </c>
      <c r="BJ5" t="s">
        <v>75</v>
      </c>
      <c r="BK5" t="s">
        <v>69</v>
      </c>
      <c r="BL5">
        <v>146.18899999999999</v>
      </c>
      <c r="BM5" t="s">
        <v>69</v>
      </c>
      <c r="BN5" t="s">
        <v>69</v>
      </c>
      <c r="BO5">
        <v>124</v>
      </c>
      <c r="BP5" t="s">
        <v>151</v>
      </c>
      <c r="BQ5" t="s">
        <v>69</v>
      </c>
      <c r="BR5" t="s">
        <v>152</v>
      </c>
      <c r="BS5" t="s">
        <v>69</v>
      </c>
      <c r="BT5">
        <v>165.19200000000001</v>
      </c>
      <c r="BU5" t="s">
        <v>69</v>
      </c>
      <c r="BV5" t="s">
        <v>69</v>
      </c>
    </row>
    <row r="6" spans="1:74" x14ac:dyDescent="0.25">
      <c r="A6">
        <v>7</v>
      </c>
      <c r="B6" t="str">
        <f>HYPERLINK("http://www.ncbi.nlm.nih.gov/protein/XP_008013253.2","XP_008013253.2")</f>
        <v>XP_008013253.2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HYPERLINK("http://www.ncbi.nlm.nih.gov/protein/XP_008013253.2","ras GTPase-activating protein-binding protein 1")</f>
        <v>ras GTPase-activating protein-binding protein 1</v>
      </c>
      <c r="I6" t="s">
        <v>259</v>
      </c>
      <c r="J6" t="s">
        <v>69</v>
      </c>
      <c r="K6">
        <v>15</v>
      </c>
      <c r="L6" t="s">
        <v>151</v>
      </c>
      <c r="M6" t="s">
        <v>69</v>
      </c>
      <c r="N6" t="s">
        <v>152</v>
      </c>
      <c r="O6" t="s">
        <v>69</v>
      </c>
      <c r="P6">
        <v>165.19200000000001</v>
      </c>
      <c r="Q6" t="s">
        <v>69</v>
      </c>
      <c r="R6" t="s">
        <v>69</v>
      </c>
      <c r="S6">
        <v>18</v>
      </c>
      <c r="T6" t="s">
        <v>147</v>
      </c>
      <c r="U6" t="s">
        <v>69</v>
      </c>
      <c r="V6" t="s">
        <v>148</v>
      </c>
      <c r="W6" t="s">
        <v>69</v>
      </c>
      <c r="X6">
        <v>146.14599999999999</v>
      </c>
      <c r="Y6" t="s">
        <v>69</v>
      </c>
      <c r="Z6" t="s">
        <v>69</v>
      </c>
      <c r="AA6">
        <v>32</v>
      </c>
      <c r="AB6" t="s">
        <v>74</v>
      </c>
      <c r="AC6" t="s">
        <v>69</v>
      </c>
      <c r="AD6" t="s">
        <v>75</v>
      </c>
      <c r="AE6" t="s">
        <v>69</v>
      </c>
      <c r="AF6">
        <v>174.203</v>
      </c>
      <c r="AG6" t="s">
        <v>69</v>
      </c>
      <c r="AH6" t="s">
        <v>69</v>
      </c>
      <c r="AI6">
        <v>34</v>
      </c>
      <c r="AJ6" t="s">
        <v>69</v>
      </c>
      <c r="AK6" t="s">
        <v>69</v>
      </c>
      <c r="AL6" t="s">
        <v>152</v>
      </c>
      <c r="AM6" t="s">
        <v>69</v>
      </c>
      <c r="AN6">
        <v>181.191</v>
      </c>
      <c r="AO6" t="s">
        <v>69</v>
      </c>
      <c r="AP6" t="s">
        <v>69</v>
      </c>
      <c r="AQ6">
        <v>117</v>
      </c>
      <c r="AR6" t="s">
        <v>119</v>
      </c>
      <c r="AS6" t="s">
        <v>69</v>
      </c>
      <c r="AT6" t="s">
        <v>120</v>
      </c>
      <c r="AU6" t="s">
        <v>69</v>
      </c>
      <c r="AV6">
        <v>147.131</v>
      </c>
      <c r="AW6" t="s">
        <v>69</v>
      </c>
      <c r="AX6" t="s">
        <v>69</v>
      </c>
      <c r="AY6">
        <v>122</v>
      </c>
      <c r="AZ6" t="s">
        <v>153</v>
      </c>
      <c r="BA6" t="s">
        <v>69</v>
      </c>
      <c r="BB6" t="s">
        <v>148</v>
      </c>
      <c r="BC6" t="s">
        <v>69</v>
      </c>
      <c r="BD6">
        <v>132.119</v>
      </c>
      <c r="BE6" t="s">
        <v>69</v>
      </c>
      <c r="BF6" t="s">
        <v>69</v>
      </c>
      <c r="BG6">
        <v>123</v>
      </c>
      <c r="BH6" t="s">
        <v>76</v>
      </c>
      <c r="BI6" t="s">
        <v>69</v>
      </c>
      <c r="BJ6" t="s">
        <v>75</v>
      </c>
      <c r="BK6" t="s">
        <v>69</v>
      </c>
      <c r="BL6">
        <v>146.18899999999999</v>
      </c>
      <c r="BM6" t="s">
        <v>69</v>
      </c>
      <c r="BN6" t="s">
        <v>69</v>
      </c>
      <c r="BO6">
        <v>124</v>
      </c>
      <c r="BP6" t="s">
        <v>151</v>
      </c>
      <c r="BQ6" t="s">
        <v>69</v>
      </c>
      <c r="BR6" t="s">
        <v>152</v>
      </c>
      <c r="BS6" t="s">
        <v>69</v>
      </c>
      <c r="BT6">
        <v>165.19200000000001</v>
      </c>
      <c r="BU6" t="s">
        <v>69</v>
      </c>
      <c r="BV6" t="s">
        <v>69</v>
      </c>
    </row>
    <row r="7" spans="1:74" x14ac:dyDescent="0.25">
      <c r="A7">
        <v>7</v>
      </c>
      <c r="B7" t="str">
        <f>HYPERLINK("http://www.ncbi.nlm.nih.gov/protein/XP_009207705.1","XP_009207705.1")</f>
        <v>XP_009207705.1</v>
      </c>
      <c r="C7">
        <v>73529</v>
      </c>
      <c r="D7" t="str">
        <f>HYPERLINK("http://www.ncbi.nlm.nih.gov/Taxonomy/Browser/wwwtax.cgi?mode=Info&amp;id=9555&amp;lvl=3&amp;lin=f&amp;keep=1&amp;srchmode=1&amp;unlock","9555")</f>
        <v>9555</v>
      </c>
      <c r="E7" t="s">
        <v>66</v>
      </c>
      <c r="F7" t="str">
        <f>HYPERLINK("http://www.ncbi.nlm.nih.gov/Taxonomy/Browser/wwwtax.cgi?mode=Info&amp;id=9555&amp;lvl=3&amp;lin=f&amp;keep=1&amp;srchmode=1&amp;unlock","Papio anubis")</f>
        <v>Papio anubis</v>
      </c>
      <c r="G7" t="s">
        <v>80</v>
      </c>
      <c r="H7" t="str">
        <f>HYPERLINK("http://www.ncbi.nlm.nih.gov/protein/XP_009207705.1","ras GTPase-activating protein-binding protein 1")</f>
        <v>ras GTPase-activating protein-binding protein 1</v>
      </c>
      <c r="I7" t="s">
        <v>259</v>
      </c>
      <c r="J7" t="s">
        <v>69</v>
      </c>
      <c r="K7">
        <v>15</v>
      </c>
      <c r="L7" t="s">
        <v>151</v>
      </c>
      <c r="M7" t="s">
        <v>69</v>
      </c>
      <c r="N7" t="s">
        <v>152</v>
      </c>
      <c r="O7" t="s">
        <v>69</v>
      </c>
      <c r="P7">
        <v>165.19200000000001</v>
      </c>
      <c r="Q7" t="s">
        <v>69</v>
      </c>
      <c r="R7" t="s">
        <v>69</v>
      </c>
      <c r="S7">
        <v>18</v>
      </c>
      <c r="T7" t="s">
        <v>147</v>
      </c>
      <c r="U7" t="s">
        <v>69</v>
      </c>
      <c r="V7" t="s">
        <v>148</v>
      </c>
      <c r="W7" t="s">
        <v>69</v>
      </c>
      <c r="X7">
        <v>146.14599999999999</v>
      </c>
      <c r="Y7" t="s">
        <v>69</v>
      </c>
      <c r="Z7" t="s">
        <v>69</v>
      </c>
      <c r="AA7">
        <v>32</v>
      </c>
      <c r="AB7" t="s">
        <v>74</v>
      </c>
      <c r="AC7" t="s">
        <v>69</v>
      </c>
      <c r="AD7" t="s">
        <v>75</v>
      </c>
      <c r="AE7" t="s">
        <v>69</v>
      </c>
      <c r="AF7">
        <v>174.203</v>
      </c>
      <c r="AG7" t="s">
        <v>69</v>
      </c>
      <c r="AH7" t="s">
        <v>69</v>
      </c>
      <c r="AI7">
        <v>34</v>
      </c>
      <c r="AJ7" t="s">
        <v>69</v>
      </c>
      <c r="AK7" t="s">
        <v>69</v>
      </c>
      <c r="AL7" t="s">
        <v>152</v>
      </c>
      <c r="AM7" t="s">
        <v>69</v>
      </c>
      <c r="AN7">
        <v>181.191</v>
      </c>
      <c r="AO7" t="s">
        <v>69</v>
      </c>
      <c r="AP7" t="s">
        <v>69</v>
      </c>
      <c r="AQ7">
        <v>117</v>
      </c>
      <c r="AR7" t="s">
        <v>119</v>
      </c>
      <c r="AS7" t="s">
        <v>69</v>
      </c>
      <c r="AT7" t="s">
        <v>120</v>
      </c>
      <c r="AU7" t="s">
        <v>69</v>
      </c>
      <c r="AV7">
        <v>147.131</v>
      </c>
      <c r="AW7" t="s">
        <v>69</v>
      </c>
      <c r="AX7" t="s">
        <v>69</v>
      </c>
      <c r="AY7">
        <v>122</v>
      </c>
      <c r="AZ7" t="s">
        <v>153</v>
      </c>
      <c r="BA7" t="s">
        <v>69</v>
      </c>
      <c r="BB7" t="s">
        <v>148</v>
      </c>
      <c r="BC7" t="s">
        <v>69</v>
      </c>
      <c r="BD7">
        <v>132.119</v>
      </c>
      <c r="BE7" t="s">
        <v>69</v>
      </c>
      <c r="BF7" t="s">
        <v>69</v>
      </c>
      <c r="BG7">
        <v>123</v>
      </c>
      <c r="BH7" t="s">
        <v>76</v>
      </c>
      <c r="BI7" t="s">
        <v>69</v>
      </c>
      <c r="BJ7" t="s">
        <v>75</v>
      </c>
      <c r="BK7" t="s">
        <v>69</v>
      </c>
      <c r="BL7">
        <v>146.18899999999999</v>
      </c>
      <c r="BM7" t="s">
        <v>69</v>
      </c>
      <c r="BN7" t="s">
        <v>69</v>
      </c>
      <c r="BO7">
        <v>124</v>
      </c>
      <c r="BP7" t="s">
        <v>151</v>
      </c>
      <c r="BQ7" t="s">
        <v>69</v>
      </c>
      <c r="BR7" t="s">
        <v>152</v>
      </c>
      <c r="BS7" t="s">
        <v>69</v>
      </c>
      <c r="BT7">
        <v>165.19200000000001</v>
      </c>
      <c r="BU7" t="s">
        <v>69</v>
      </c>
      <c r="BV7" t="s">
        <v>69</v>
      </c>
    </row>
    <row r="8" spans="1:74" x14ac:dyDescent="0.25">
      <c r="A8">
        <v>7</v>
      </c>
      <c r="B8" t="str">
        <f>HYPERLINK("http://www.ncbi.nlm.nih.gov/protein/XP_003981422.1","XP_003981422.1")</f>
        <v>XP_003981422.1</v>
      </c>
      <c r="C8">
        <v>74287</v>
      </c>
      <c r="D8" t="str">
        <f>HYPERLINK("http://www.ncbi.nlm.nih.gov/Taxonomy/Browser/wwwtax.cgi?mode=Info&amp;id=9685&amp;lvl=3&amp;lin=f&amp;keep=1&amp;srchmode=1&amp;unlock","9685")</f>
        <v>9685</v>
      </c>
      <c r="E8" t="s">
        <v>66</v>
      </c>
      <c r="F8" t="str">
        <f>HYPERLINK("http://www.ncbi.nlm.nih.gov/Taxonomy/Browser/wwwtax.cgi?mode=Info&amp;id=9685&amp;lvl=3&amp;lin=f&amp;keep=1&amp;srchmode=1&amp;unlock","Felis catus")</f>
        <v>Felis catus</v>
      </c>
      <c r="G8" t="s">
        <v>86</v>
      </c>
      <c r="H8" t="str">
        <f>HYPERLINK("http://www.ncbi.nlm.nih.gov/protein/XP_003981422.1","ras GTPase-activating protein-binding protein 1")</f>
        <v>ras GTPase-activating protein-binding protein 1</v>
      </c>
      <c r="I8" t="s">
        <v>259</v>
      </c>
      <c r="J8" t="s">
        <v>69</v>
      </c>
      <c r="K8">
        <v>15</v>
      </c>
      <c r="L8" t="s">
        <v>151</v>
      </c>
      <c r="M8" t="s">
        <v>69</v>
      </c>
      <c r="N8" t="s">
        <v>152</v>
      </c>
      <c r="O8" t="s">
        <v>69</v>
      </c>
      <c r="P8">
        <v>165.19200000000001</v>
      </c>
      <c r="Q8" t="s">
        <v>69</v>
      </c>
      <c r="R8" t="s">
        <v>69</v>
      </c>
      <c r="S8">
        <v>18</v>
      </c>
      <c r="T8" t="s">
        <v>147</v>
      </c>
      <c r="U8" t="s">
        <v>69</v>
      </c>
      <c r="V8" t="s">
        <v>148</v>
      </c>
      <c r="W8" t="s">
        <v>69</v>
      </c>
      <c r="X8">
        <v>146.14599999999999</v>
      </c>
      <c r="Y8" t="s">
        <v>69</v>
      </c>
      <c r="Z8" t="s">
        <v>69</v>
      </c>
      <c r="AA8">
        <v>32</v>
      </c>
      <c r="AB8" t="s">
        <v>74</v>
      </c>
      <c r="AC8" t="s">
        <v>69</v>
      </c>
      <c r="AD8" t="s">
        <v>75</v>
      </c>
      <c r="AE8" t="s">
        <v>69</v>
      </c>
      <c r="AF8">
        <v>174.203</v>
      </c>
      <c r="AG8" t="s">
        <v>69</v>
      </c>
      <c r="AH8" t="s">
        <v>69</v>
      </c>
      <c r="AI8">
        <v>34</v>
      </c>
      <c r="AJ8" t="s">
        <v>69</v>
      </c>
      <c r="AK8" t="s">
        <v>69</v>
      </c>
      <c r="AL8" t="s">
        <v>152</v>
      </c>
      <c r="AM8" t="s">
        <v>69</v>
      </c>
      <c r="AN8">
        <v>181.191</v>
      </c>
      <c r="AO8" t="s">
        <v>69</v>
      </c>
      <c r="AP8" t="s">
        <v>69</v>
      </c>
      <c r="AQ8">
        <v>117</v>
      </c>
      <c r="AR8" t="s">
        <v>119</v>
      </c>
      <c r="AS8" t="s">
        <v>69</v>
      </c>
      <c r="AT8" t="s">
        <v>120</v>
      </c>
      <c r="AU8" t="s">
        <v>69</v>
      </c>
      <c r="AV8">
        <v>147.131</v>
      </c>
      <c r="AW8" t="s">
        <v>69</v>
      </c>
      <c r="AX8" t="s">
        <v>69</v>
      </c>
      <c r="AY8">
        <v>122</v>
      </c>
      <c r="AZ8" t="s">
        <v>153</v>
      </c>
      <c r="BA8" t="s">
        <v>69</v>
      </c>
      <c r="BB8" t="s">
        <v>148</v>
      </c>
      <c r="BC8" t="s">
        <v>69</v>
      </c>
      <c r="BD8">
        <v>132.119</v>
      </c>
      <c r="BE8" t="s">
        <v>69</v>
      </c>
      <c r="BF8" t="s">
        <v>69</v>
      </c>
      <c r="BG8">
        <v>123</v>
      </c>
      <c r="BH8" t="s">
        <v>76</v>
      </c>
      <c r="BI8" t="s">
        <v>69</v>
      </c>
      <c r="BJ8" t="s">
        <v>75</v>
      </c>
      <c r="BK8" t="s">
        <v>69</v>
      </c>
      <c r="BL8">
        <v>146.18899999999999</v>
      </c>
      <c r="BM8" t="s">
        <v>69</v>
      </c>
      <c r="BN8" t="s">
        <v>69</v>
      </c>
      <c r="BO8">
        <v>124</v>
      </c>
      <c r="BP8" t="s">
        <v>151</v>
      </c>
      <c r="BQ8" t="s">
        <v>69</v>
      </c>
      <c r="BR8" t="s">
        <v>152</v>
      </c>
      <c r="BS8" t="s">
        <v>69</v>
      </c>
      <c r="BT8">
        <v>165.19200000000001</v>
      </c>
      <c r="BU8" t="s">
        <v>69</v>
      </c>
      <c r="BV8" t="s">
        <v>69</v>
      </c>
    </row>
    <row r="9" spans="1:74" x14ac:dyDescent="0.25">
      <c r="A9">
        <v>7</v>
      </c>
      <c r="B9" t="str">
        <f>HYPERLINK("http://www.ncbi.nlm.nih.gov/protein/XP_042804562.1","XP_042804562.1")</f>
        <v>XP_042804562.1</v>
      </c>
      <c r="C9">
        <v>53677</v>
      </c>
      <c r="D9" t="str">
        <f>HYPERLINK("http://www.ncbi.nlm.nih.gov/Taxonomy/Browser/wwwtax.cgi?mode=Info&amp;id=9689&amp;lvl=3&amp;lin=f&amp;keep=1&amp;srchmode=1&amp;unlock","9689")</f>
        <v>9689</v>
      </c>
      <c r="E9" t="s">
        <v>66</v>
      </c>
      <c r="F9" t="str">
        <f>HYPERLINK("http://www.ncbi.nlm.nih.gov/Taxonomy/Browser/wwwtax.cgi?mode=Info&amp;id=9689&amp;lvl=3&amp;lin=f&amp;keep=1&amp;srchmode=1&amp;unlock","Panthera leo")</f>
        <v>Panthera leo</v>
      </c>
      <c r="G9" t="s">
        <v>90</v>
      </c>
      <c r="H9" t="str">
        <f>HYPERLINK("http://www.ncbi.nlm.nih.gov/protein/XP_042804562.1","ras GTPase-activating protein-binding protein 1")</f>
        <v>ras GTPase-activating protein-binding protein 1</v>
      </c>
      <c r="I9" t="s">
        <v>259</v>
      </c>
      <c r="J9" t="s">
        <v>69</v>
      </c>
      <c r="K9">
        <v>15</v>
      </c>
      <c r="L9" t="s">
        <v>151</v>
      </c>
      <c r="M9" t="s">
        <v>69</v>
      </c>
      <c r="N9" t="s">
        <v>152</v>
      </c>
      <c r="O9" t="s">
        <v>69</v>
      </c>
      <c r="P9">
        <v>165.19200000000001</v>
      </c>
      <c r="Q9" t="s">
        <v>69</v>
      </c>
      <c r="R9" t="s">
        <v>69</v>
      </c>
      <c r="S9">
        <v>18</v>
      </c>
      <c r="T9" t="s">
        <v>147</v>
      </c>
      <c r="U9" t="s">
        <v>69</v>
      </c>
      <c r="V9" t="s">
        <v>148</v>
      </c>
      <c r="W9" t="s">
        <v>69</v>
      </c>
      <c r="X9">
        <v>146.14599999999999</v>
      </c>
      <c r="Y9" t="s">
        <v>69</v>
      </c>
      <c r="Z9" t="s">
        <v>69</v>
      </c>
      <c r="AA9">
        <v>32</v>
      </c>
      <c r="AB9" t="s">
        <v>74</v>
      </c>
      <c r="AC9" t="s">
        <v>69</v>
      </c>
      <c r="AD9" t="s">
        <v>75</v>
      </c>
      <c r="AE9" t="s">
        <v>69</v>
      </c>
      <c r="AF9">
        <v>174.203</v>
      </c>
      <c r="AG9" t="s">
        <v>69</v>
      </c>
      <c r="AH9" t="s">
        <v>69</v>
      </c>
      <c r="AI9">
        <v>34</v>
      </c>
      <c r="AJ9" t="s">
        <v>69</v>
      </c>
      <c r="AK9" t="s">
        <v>69</v>
      </c>
      <c r="AL9" t="s">
        <v>152</v>
      </c>
      <c r="AM9" t="s">
        <v>69</v>
      </c>
      <c r="AN9">
        <v>181.191</v>
      </c>
      <c r="AO9" t="s">
        <v>69</v>
      </c>
      <c r="AP9" t="s">
        <v>69</v>
      </c>
      <c r="AQ9">
        <v>117</v>
      </c>
      <c r="AR9" t="s">
        <v>119</v>
      </c>
      <c r="AS9" t="s">
        <v>69</v>
      </c>
      <c r="AT9" t="s">
        <v>120</v>
      </c>
      <c r="AU9" t="s">
        <v>69</v>
      </c>
      <c r="AV9">
        <v>147.131</v>
      </c>
      <c r="AW9" t="s">
        <v>69</v>
      </c>
      <c r="AX9" t="s">
        <v>69</v>
      </c>
      <c r="AY9">
        <v>122</v>
      </c>
      <c r="AZ9" t="s">
        <v>153</v>
      </c>
      <c r="BA9" t="s">
        <v>69</v>
      </c>
      <c r="BB9" t="s">
        <v>148</v>
      </c>
      <c r="BC9" t="s">
        <v>69</v>
      </c>
      <c r="BD9">
        <v>132.119</v>
      </c>
      <c r="BE9" t="s">
        <v>69</v>
      </c>
      <c r="BF9" t="s">
        <v>69</v>
      </c>
      <c r="BG9">
        <v>123</v>
      </c>
      <c r="BH9" t="s">
        <v>76</v>
      </c>
      <c r="BI9" t="s">
        <v>69</v>
      </c>
      <c r="BJ9" t="s">
        <v>75</v>
      </c>
      <c r="BK9" t="s">
        <v>69</v>
      </c>
      <c r="BL9">
        <v>146.18899999999999</v>
      </c>
      <c r="BM9" t="s">
        <v>69</v>
      </c>
      <c r="BN9" t="s">
        <v>69</v>
      </c>
      <c r="BO9">
        <v>124</v>
      </c>
      <c r="BP9" t="s">
        <v>151</v>
      </c>
      <c r="BQ9" t="s">
        <v>69</v>
      </c>
      <c r="BR9" t="s">
        <v>152</v>
      </c>
      <c r="BS9" t="s">
        <v>69</v>
      </c>
      <c r="BT9">
        <v>165.19200000000001</v>
      </c>
      <c r="BU9" t="s">
        <v>69</v>
      </c>
      <c r="BV9" t="s">
        <v>69</v>
      </c>
    </row>
    <row r="10" spans="1:74" x14ac:dyDescent="0.25">
      <c r="A10">
        <v>7</v>
      </c>
      <c r="B10" t="str">
        <f>HYPERLINK("http://www.ncbi.nlm.nih.gov/protein/XP_007093489.2","XP_007093489.2")</f>
        <v>XP_007093489.2</v>
      </c>
      <c r="C10">
        <v>56089</v>
      </c>
      <c r="D10" t="str">
        <f>HYPERLINK("http://www.ncbi.nlm.nih.gov/Taxonomy/Browser/wwwtax.cgi?mode=Info&amp;id=9694&amp;lvl=3&amp;lin=f&amp;keep=1&amp;srchmode=1&amp;unlock","9694")</f>
        <v>9694</v>
      </c>
      <c r="E10" t="s">
        <v>66</v>
      </c>
      <c r="F10" t="str">
        <f>HYPERLINK("http://www.ncbi.nlm.nih.gov/Taxonomy/Browser/wwwtax.cgi?mode=Info&amp;id=9694&amp;lvl=3&amp;lin=f&amp;keep=1&amp;srchmode=1&amp;unlock","Panthera tigris")</f>
        <v>Panthera tigris</v>
      </c>
      <c r="G10" t="s">
        <v>89</v>
      </c>
      <c r="H10" t="str">
        <f>HYPERLINK("http://www.ncbi.nlm.nih.gov/protein/XP_007093489.2","ras GTPase-activating protein-binding protein 1")</f>
        <v>ras GTPase-activating protein-binding protein 1</v>
      </c>
      <c r="I10" t="s">
        <v>259</v>
      </c>
      <c r="J10" t="s">
        <v>69</v>
      </c>
      <c r="K10">
        <v>15</v>
      </c>
      <c r="L10" t="s">
        <v>151</v>
      </c>
      <c r="M10" t="s">
        <v>69</v>
      </c>
      <c r="N10" t="s">
        <v>152</v>
      </c>
      <c r="O10" t="s">
        <v>69</v>
      </c>
      <c r="P10">
        <v>165.19200000000001</v>
      </c>
      <c r="Q10" t="s">
        <v>69</v>
      </c>
      <c r="R10" t="s">
        <v>69</v>
      </c>
      <c r="S10">
        <v>18</v>
      </c>
      <c r="T10" t="s">
        <v>147</v>
      </c>
      <c r="U10" t="s">
        <v>69</v>
      </c>
      <c r="V10" t="s">
        <v>148</v>
      </c>
      <c r="W10" t="s">
        <v>69</v>
      </c>
      <c r="X10">
        <v>146.14599999999999</v>
      </c>
      <c r="Y10" t="s">
        <v>69</v>
      </c>
      <c r="Z10" t="s">
        <v>69</v>
      </c>
      <c r="AA10">
        <v>32</v>
      </c>
      <c r="AB10" t="s">
        <v>74</v>
      </c>
      <c r="AC10" t="s">
        <v>69</v>
      </c>
      <c r="AD10" t="s">
        <v>75</v>
      </c>
      <c r="AE10" t="s">
        <v>69</v>
      </c>
      <c r="AF10">
        <v>174.203</v>
      </c>
      <c r="AG10" t="s">
        <v>69</v>
      </c>
      <c r="AH10" t="s">
        <v>69</v>
      </c>
      <c r="AI10">
        <v>34</v>
      </c>
      <c r="AJ10" t="s">
        <v>69</v>
      </c>
      <c r="AK10" t="s">
        <v>69</v>
      </c>
      <c r="AL10" t="s">
        <v>152</v>
      </c>
      <c r="AM10" t="s">
        <v>69</v>
      </c>
      <c r="AN10">
        <v>181.191</v>
      </c>
      <c r="AO10" t="s">
        <v>69</v>
      </c>
      <c r="AP10" t="s">
        <v>69</v>
      </c>
      <c r="AQ10">
        <v>117</v>
      </c>
      <c r="AR10" t="s">
        <v>119</v>
      </c>
      <c r="AS10" t="s">
        <v>69</v>
      </c>
      <c r="AT10" t="s">
        <v>120</v>
      </c>
      <c r="AU10" t="s">
        <v>69</v>
      </c>
      <c r="AV10">
        <v>147.131</v>
      </c>
      <c r="AW10" t="s">
        <v>69</v>
      </c>
      <c r="AX10" t="s">
        <v>69</v>
      </c>
      <c r="AY10">
        <v>122</v>
      </c>
      <c r="AZ10" t="s">
        <v>153</v>
      </c>
      <c r="BA10" t="s">
        <v>69</v>
      </c>
      <c r="BB10" t="s">
        <v>148</v>
      </c>
      <c r="BC10" t="s">
        <v>69</v>
      </c>
      <c r="BD10">
        <v>132.119</v>
      </c>
      <c r="BE10" t="s">
        <v>69</v>
      </c>
      <c r="BF10" t="s">
        <v>69</v>
      </c>
      <c r="BG10">
        <v>123</v>
      </c>
      <c r="BH10" t="s">
        <v>76</v>
      </c>
      <c r="BI10" t="s">
        <v>69</v>
      </c>
      <c r="BJ10" t="s">
        <v>75</v>
      </c>
      <c r="BK10" t="s">
        <v>69</v>
      </c>
      <c r="BL10">
        <v>146.18899999999999</v>
      </c>
      <c r="BM10" t="s">
        <v>69</v>
      </c>
      <c r="BN10" t="s">
        <v>69</v>
      </c>
      <c r="BO10">
        <v>124</v>
      </c>
      <c r="BP10" t="s">
        <v>151</v>
      </c>
      <c r="BQ10" t="s">
        <v>69</v>
      </c>
      <c r="BR10" t="s">
        <v>152</v>
      </c>
      <c r="BS10" t="s">
        <v>69</v>
      </c>
      <c r="BT10">
        <v>165.19200000000001</v>
      </c>
      <c r="BU10" t="s">
        <v>69</v>
      </c>
      <c r="BV10" t="s">
        <v>69</v>
      </c>
    </row>
    <row r="11" spans="1:74" x14ac:dyDescent="0.25">
      <c r="A11">
        <v>7</v>
      </c>
      <c r="B11" t="str">
        <f>HYPERLINK("http://www.ncbi.nlm.nih.gov/protein/XP_025780588.1","XP_025780588.1")</f>
        <v>XP_025780588.1</v>
      </c>
      <c r="C11">
        <v>23623</v>
      </c>
      <c r="D11" t="str">
        <f>HYPERLINK("http://www.ncbi.nlm.nih.gov/Taxonomy/Browser/wwwtax.cgi?mode=Info&amp;id=9696&amp;lvl=3&amp;lin=f&amp;keep=1&amp;srchmode=1&amp;unlock","9696")</f>
        <v>9696</v>
      </c>
      <c r="E11" t="s">
        <v>66</v>
      </c>
      <c r="F11" t="str">
        <f>HYPERLINK("http://www.ncbi.nlm.nih.gov/Taxonomy/Browser/wwwtax.cgi?mode=Info&amp;id=9696&amp;lvl=3&amp;lin=f&amp;keep=1&amp;srchmode=1&amp;unlock","Puma concolor")</f>
        <v>Puma concolor</v>
      </c>
      <c r="G11" t="s">
        <v>91</v>
      </c>
      <c r="H11" t="str">
        <f>HYPERLINK("http://www.ncbi.nlm.nih.gov/protein/XP_025780588.1","ras GTPase-activating protein-binding protein 1")</f>
        <v>ras GTPase-activating protein-binding protein 1</v>
      </c>
      <c r="I11" t="s">
        <v>259</v>
      </c>
      <c r="J11" t="s">
        <v>69</v>
      </c>
      <c r="K11">
        <v>15</v>
      </c>
      <c r="L11" t="s">
        <v>151</v>
      </c>
      <c r="M11" t="s">
        <v>69</v>
      </c>
      <c r="N11" t="s">
        <v>152</v>
      </c>
      <c r="O11" t="s">
        <v>69</v>
      </c>
      <c r="P11">
        <v>165.19200000000001</v>
      </c>
      <c r="Q11" t="s">
        <v>69</v>
      </c>
      <c r="R11" t="s">
        <v>69</v>
      </c>
      <c r="S11">
        <v>18</v>
      </c>
      <c r="T11" t="s">
        <v>147</v>
      </c>
      <c r="U11" t="s">
        <v>69</v>
      </c>
      <c r="V11" t="s">
        <v>148</v>
      </c>
      <c r="W11" t="s">
        <v>69</v>
      </c>
      <c r="X11">
        <v>146.14599999999999</v>
      </c>
      <c r="Y11" t="s">
        <v>69</v>
      </c>
      <c r="Z11" t="s">
        <v>69</v>
      </c>
      <c r="AA11">
        <v>32</v>
      </c>
      <c r="AB11" t="s">
        <v>74</v>
      </c>
      <c r="AC11" t="s">
        <v>69</v>
      </c>
      <c r="AD11" t="s">
        <v>75</v>
      </c>
      <c r="AE11" t="s">
        <v>69</v>
      </c>
      <c r="AF11">
        <v>174.203</v>
      </c>
      <c r="AG11" t="s">
        <v>69</v>
      </c>
      <c r="AH11" t="s">
        <v>69</v>
      </c>
      <c r="AI11">
        <v>34</v>
      </c>
      <c r="AJ11" t="s">
        <v>69</v>
      </c>
      <c r="AK11" t="s">
        <v>69</v>
      </c>
      <c r="AL11" t="s">
        <v>152</v>
      </c>
      <c r="AM11" t="s">
        <v>69</v>
      </c>
      <c r="AN11">
        <v>181.191</v>
      </c>
      <c r="AO11" t="s">
        <v>69</v>
      </c>
      <c r="AP11" t="s">
        <v>69</v>
      </c>
      <c r="AQ11">
        <v>117</v>
      </c>
      <c r="AR11" t="s">
        <v>119</v>
      </c>
      <c r="AS11" t="s">
        <v>69</v>
      </c>
      <c r="AT11" t="s">
        <v>120</v>
      </c>
      <c r="AU11" t="s">
        <v>69</v>
      </c>
      <c r="AV11">
        <v>147.131</v>
      </c>
      <c r="AW11" t="s">
        <v>69</v>
      </c>
      <c r="AX11" t="s">
        <v>69</v>
      </c>
      <c r="AY11">
        <v>122</v>
      </c>
      <c r="AZ11" t="s">
        <v>153</v>
      </c>
      <c r="BA11" t="s">
        <v>69</v>
      </c>
      <c r="BB11" t="s">
        <v>148</v>
      </c>
      <c r="BC11" t="s">
        <v>69</v>
      </c>
      <c r="BD11">
        <v>132.119</v>
      </c>
      <c r="BE11" t="s">
        <v>69</v>
      </c>
      <c r="BF11" t="s">
        <v>69</v>
      </c>
      <c r="BG11">
        <v>123</v>
      </c>
      <c r="BH11" t="s">
        <v>76</v>
      </c>
      <c r="BI11" t="s">
        <v>69</v>
      </c>
      <c r="BJ11" t="s">
        <v>75</v>
      </c>
      <c r="BK11" t="s">
        <v>69</v>
      </c>
      <c r="BL11">
        <v>146.18899999999999</v>
      </c>
      <c r="BM11" t="s">
        <v>69</v>
      </c>
      <c r="BN11" t="s">
        <v>69</v>
      </c>
      <c r="BO11">
        <v>124</v>
      </c>
      <c r="BP11" t="s">
        <v>151</v>
      </c>
      <c r="BQ11" t="s">
        <v>69</v>
      </c>
      <c r="BR11" t="s">
        <v>152</v>
      </c>
      <c r="BS11" t="s">
        <v>69</v>
      </c>
      <c r="BT11">
        <v>165.19200000000001</v>
      </c>
      <c r="BU11" t="s">
        <v>69</v>
      </c>
      <c r="BV11" t="s">
        <v>69</v>
      </c>
    </row>
    <row r="12" spans="1:74" x14ac:dyDescent="0.25">
      <c r="A12">
        <v>7</v>
      </c>
      <c r="B12" t="str">
        <f>HYPERLINK("http://www.ncbi.nlm.nih.gov/protein/XP_047704941.1","XP_047704941.1")</f>
        <v>XP_047704941.1</v>
      </c>
      <c r="C12">
        <v>56399</v>
      </c>
      <c r="D12" t="str">
        <f>HYPERLINK("http://www.ncbi.nlm.nih.gov/Taxonomy/Browser/wwwtax.cgi?mode=Info&amp;id=61388&amp;lvl=3&amp;lin=f&amp;keep=1&amp;srchmode=1&amp;unlock","61388")</f>
        <v>61388</v>
      </c>
      <c r="E12" t="s">
        <v>66</v>
      </c>
      <c r="F12" t="str">
        <f>HYPERLINK("http://www.ncbi.nlm.nih.gov/Taxonomy/Browser/wwwtax.cgi?mode=Info&amp;id=61388&amp;lvl=3&amp;lin=f&amp;keep=1&amp;srchmode=1&amp;unlock","Prionailurus viverrinus")</f>
        <v>Prionailurus viverrinus</v>
      </c>
      <c r="G12" t="s">
        <v>94</v>
      </c>
      <c r="H12" t="str">
        <f>HYPERLINK("http://www.ncbi.nlm.nih.gov/protein/XP_047704941.1","ras GTPase-activating protein-binding protein 1")</f>
        <v>ras GTPase-activating protein-binding protein 1</v>
      </c>
      <c r="I12" t="s">
        <v>259</v>
      </c>
      <c r="J12" t="s">
        <v>69</v>
      </c>
      <c r="K12">
        <v>15</v>
      </c>
      <c r="L12" t="s">
        <v>151</v>
      </c>
      <c r="M12" t="s">
        <v>69</v>
      </c>
      <c r="N12" t="s">
        <v>152</v>
      </c>
      <c r="O12" t="s">
        <v>69</v>
      </c>
      <c r="P12">
        <v>165.19200000000001</v>
      </c>
      <c r="Q12" t="s">
        <v>69</v>
      </c>
      <c r="R12" t="s">
        <v>69</v>
      </c>
      <c r="S12">
        <v>18</v>
      </c>
      <c r="T12" t="s">
        <v>147</v>
      </c>
      <c r="U12" t="s">
        <v>69</v>
      </c>
      <c r="V12" t="s">
        <v>148</v>
      </c>
      <c r="W12" t="s">
        <v>69</v>
      </c>
      <c r="X12">
        <v>146.14599999999999</v>
      </c>
      <c r="Y12" t="s">
        <v>69</v>
      </c>
      <c r="Z12" t="s">
        <v>69</v>
      </c>
      <c r="AA12">
        <v>32</v>
      </c>
      <c r="AB12" t="s">
        <v>74</v>
      </c>
      <c r="AC12" t="s">
        <v>69</v>
      </c>
      <c r="AD12" t="s">
        <v>75</v>
      </c>
      <c r="AE12" t="s">
        <v>69</v>
      </c>
      <c r="AF12">
        <v>174.203</v>
      </c>
      <c r="AG12" t="s">
        <v>69</v>
      </c>
      <c r="AH12" t="s">
        <v>69</v>
      </c>
      <c r="AI12">
        <v>34</v>
      </c>
      <c r="AJ12" t="s">
        <v>69</v>
      </c>
      <c r="AK12" t="s">
        <v>69</v>
      </c>
      <c r="AL12" t="s">
        <v>152</v>
      </c>
      <c r="AM12" t="s">
        <v>69</v>
      </c>
      <c r="AN12">
        <v>181.191</v>
      </c>
      <c r="AO12" t="s">
        <v>69</v>
      </c>
      <c r="AP12" t="s">
        <v>69</v>
      </c>
      <c r="AQ12">
        <v>117</v>
      </c>
      <c r="AR12" t="s">
        <v>119</v>
      </c>
      <c r="AS12" t="s">
        <v>69</v>
      </c>
      <c r="AT12" t="s">
        <v>120</v>
      </c>
      <c r="AU12" t="s">
        <v>69</v>
      </c>
      <c r="AV12">
        <v>147.131</v>
      </c>
      <c r="AW12" t="s">
        <v>69</v>
      </c>
      <c r="AX12" t="s">
        <v>69</v>
      </c>
      <c r="AY12">
        <v>122</v>
      </c>
      <c r="AZ12" t="s">
        <v>153</v>
      </c>
      <c r="BA12" t="s">
        <v>69</v>
      </c>
      <c r="BB12" t="s">
        <v>148</v>
      </c>
      <c r="BC12" t="s">
        <v>69</v>
      </c>
      <c r="BD12">
        <v>132.119</v>
      </c>
      <c r="BE12" t="s">
        <v>69</v>
      </c>
      <c r="BF12" t="s">
        <v>69</v>
      </c>
      <c r="BG12">
        <v>123</v>
      </c>
      <c r="BH12" t="s">
        <v>76</v>
      </c>
      <c r="BI12" t="s">
        <v>69</v>
      </c>
      <c r="BJ12" t="s">
        <v>75</v>
      </c>
      <c r="BK12" t="s">
        <v>69</v>
      </c>
      <c r="BL12">
        <v>146.18899999999999</v>
      </c>
      <c r="BM12" t="s">
        <v>69</v>
      </c>
      <c r="BN12" t="s">
        <v>69</v>
      </c>
      <c r="BO12">
        <v>124</v>
      </c>
      <c r="BP12" t="s">
        <v>151</v>
      </c>
      <c r="BQ12" t="s">
        <v>69</v>
      </c>
      <c r="BR12" t="s">
        <v>152</v>
      </c>
      <c r="BS12" t="s">
        <v>69</v>
      </c>
      <c r="BT12">
        <v>165.19200000000001</v>
      </c>
      <c r="BU12" t="s">
        <v>69</v>
      </c>
      <c r="BV12" t="s">
        <v>69</v>
      </c>
    </row>
    <row r="13" spans="1:74" x14ac:dyDescent="0.25">
      <c r="A13">
        <v>7</v>
      </c>
      <c r="B13" t="str">
        <f>HYPERLINK("http://www.ncbi.nlm.nih.gov/protein/CAD7675408.1","CAD7675408.1")</f>
        <v>CAD7675408.1</v>
      </c>
      <c r="C13">
        <v>27271</v>
      </c>
      <c r="D13" t="str">
        <f>HYPERLINK("http://www.ncbi.nlm.nih.gov/Taxonomy/Browser/wwwtax.cgi?mode=Info&amp;id=34880&amp;lvl=3&amp;lin=f&amp;keep=1&amp;srchmode=1&amp;unlock","34880")</f>
        <v>34880</v>
      </c>
      <c r="E13" t="s">
        <v>66</v>
      </c>
      <c r="F13" t="str">
        <f>HYPERLINK("http://www.ncbi.nlm.nih.gov/Taxonomy/Browser/wwwtax.cgi?mode=Info&amp;id=34880&amp;lvl=3&amp;lin=f&amp;keep=1&amp;srchmode=1&amp;unlock","Nyctereutes procyonoides")</f>
        <v>Nyctereutes procyonoides</v>
      </c>
      <c r="G13" t="s">
        <v>92</v>
      </c>
      <c r="H13" t="str">
        <f>HYPERLINK("http://www.ncbi.nlm.nih.gov/protein/CAD7675408.1","unnamed protein product")</f>
        <v>unnamed protein product</v>
      </c>
      <c r="I13" t="s">
        <v>259</v>
      </c>
      <c r="J13" t="s">
        <v>69</v>
      </c>
      <c r="K13">
        <v>15</v>
      </c>
      <c r="L13" t="s">
        <v>151</v>
      </c>
      <c r="M13" t="s">
        <v>69</v>
      </c>
      <c r="N13" t="s">
        <v>152</v>
      </c>
      <c r="O13" t="s">
        <v>69</v>
      </c>
      <c r="P13">
        <v>165.19200000000001</v>
      </c>
      <c r="Q13" t="s">
        <v>69</v>
      </c>
      <c r="R13" t="s">
        <v>69</v>
      </c>
      <c r="S13">
        <v>18</v>
      </c>
      <c r="T13" t="s">
        <v>147</v>
      </c>
      <c r="U13" t="s">
        <v>69</v>
      </c>
      <c r="V13" t="s">
        <v>148</v>
      </c>
      <c r="W13" t="s">
        <v>69</v>
      </c>
      <c r="X13">
        <v>146.14599999999999</v>
      </c>
      <c r="Y13" t="s">
        <v>69</v>
      </c>
      <c r="Z13" t="s">
        <v>69</v>
      </c>
      <c r="AA13">
        <v>32</v>
      </c>
      <c r="AB13" t="s">
        <v>74</v>
      </c>
      <c r="AC13" t="s">
        <v>69</v>
      </c>
      <c r="AD13" t="s">
        <v>75</v>
      </c>
      <c r="AE13" t="s">
        <v>69</v>
      </c>
      <c r="AF13">
        <v>174.203</v>
      </c>
      <c r="AG13" t="s">
        <v>69</v>
      </c>
      <c r="AH13" t="s">
        <v>69</v>
      </c>
      <c r="AI13">
        <v>34</v>
      </c>
      <c r="AJ13" t="s">
        <v>69</v>
      </c>
      <c r="AK13" t="s">
        <v>69</v>
      </c>
      <c r="AL13" t="s">
        <v>152</v>
      </c>
      <c r="AM13" t="s">
        <v>69</v>
      </c>
      <c r="AN13">
        <v>181.191</v>
      </c>
      <c r="AO13" t="s">
        <v>69</v>
      </c>
      <c r="AP13" t="s">
        <v>69</v>
      </c>
      <c r="AQ13">
        <v>117</v>
      </c>
      <c r="AR13" t="s">
        <v>119</v>
      </c>
      <c r="AS13" t="s">
        <v>69</v>
      </c>
      <c r="AT13" t="s">
        <v>120</v>
      </c>
      <c r="AU13" t="s">
        <v>69</v>
      </c>
      <c r="AV13">
        <v>147.131</v>
      </c>
      <c r="AW13" t="s">
        <v>69</v>
      </c>
      <c r="AX13" t="s">
        <v>69</v>
      </c>
      <c r="AY13">
        <v>122</v>
      </c>
      <c r="AZ13" t="s">
        <v>153</v>
      </c>
      <c r="BA13" t="s">
        <v>69</v>
      </c>
      <c r="BB13" t="s">
        <v>148</v>
      </c>
      <c r="BC13" t="s">
        <v>69</v>
      </c>
      <c r="BD13">
        <v>132.119</v>
      </c>
      <c r="BE13" t="s">
        <v>69</v>
      </c>
      <c r="BF13" t="s">
        <v>69</v>
      </c>
      <c r="BG13">
        <v>123</v>
      </c>
      <c r="BH13" t="s">
        <v>76</v>
      </c>
      <c r="BI13" t="s">
        <v>69</v>
      </c>
      <c r="BJ13" t="s">
        <v>75</v>
      </c>
      <c r="BK13" t="s">
        <v>69</v>
      </c>
      <c r="BL13">
        <v>146.18899999999999</v>
      </c>
      <c r="BM13" t="s">
        <v>69</v>
      </c>
      <c r="BN13" t="s">
        <v>69</v>
      </c>
      <c r="BO13">
        <v>124</v>
      </c>
      <c r="BP13" t="s">
        <v>151</v>
      </c>
      <c r="BQ13" t="s">
        <v>69</v>
      </c>
      <c r="BR13" t="s">
        <v>152</v>
      </c>
      <c r="BS13" t="s">
        <v>69</v>
      </c>
      <c r="BT13">
        <v>165.19200000000001</v>
      </c>
      <c r="BU13" t="s">
        <v>69</v>
      </c>
      <c r="BV13" t="s">
        <v>69</v>
      </c>
    </row>
    <row r="14" spans="1:74" x14ac:dyDescent="0.25">
      <c r="A14">
        <v>7</v>
      </c>
      <c r="B14" t="str">
        <f>HYPERLINK("http://www.ncbi.nlm.nih.gov/protein/XP_030184733.1","XP_030184733.1")</f>
        <v>XP_030184733.1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HYPERLINK("http://www.ncbi.nlm.nih.gov/protein/XP_030184733.1","ras GTPase-activating protein-binding protein 1")</f>
        <v>ras GTPase-activating protein-binding protein 1</v>
      </c>
      <c r="I14" t="s">
        <v>259</v>
      </c>
      <c r="J14" t="s">
        <v>69</v>
      </c>
      <c r="K14">
        <v>15</v>
      </c>
      <c r="L14" t="s">
        <v>151</v>
      </c>
      <c r="M14" t="s">
        <v>69</v>
      </c>
      <c r="N14" t="s">
        <v>152</v>
      </c>
      <c r="O14" t="s">
        <v>69</v>
      </c>
      <c r="P14">
        <v>165.19200000000001</v>
      </c>
      <c r="Q14" t="s">
        <v>69</v>
      </c>
      <c r="R14" t="s">
        <v>69</v>
      </c>
      <c r="S14">
        <v>18</v>
      </c>
      <c r="T14" t="s">
        <v>147</v>
      </c>
      <c r="U14" t="s">
        <v>69</v>
      </c>
      <c r="V14" t="s">
        <v>148</v>
      </c>
      <c r="W14" t="s">
        <v>69</v>
      </c>
      <c r="X14">
        <v>146.14599999999999</v>
      </c>
      <c r="Y14" t="s">
        <v>69</v>
      </c>
      <c r="Z14" t="s">
        <v>69</v>
      </c>
      <c r="AA14">
        <v>32</v>
      </c>
      <c r="AB14" t="s">
        <v>74</v>
      </c>
      <c r="AC14" t="s">
        <v>69</v>
      </c>
      <c r="AD14" t="s">
        <v>75</v>
      </c>
      <c r="AE14" t="s">
        <v>69</v>
      </c>
      <c r="AF14">
        <v>174.203</v>
      </c>
      <c r="AG14" t="s">
        <v>69</v>
      </c>
      <c r="AH14" t="s">
        <v>69</v>
      </c>
      <c r="AI14">
        <v>34</v>
      </c>
      <c r="AJ14" t="s">
        <v>69</v>
      </c>
      <c r="AK14" t="s">
        <v>69</v>
      </c>
      <c r="AL14" t="s">
        <v>152</v>
      </c>
      <c r="AM14" t="s">
        <v>69</v>
      </c>
      <c r="AN14">
        <v>181.191</v>
      </c>
      <c r="AO14" t="s">
        <v>69</v>
      </c>
      <c r="AP14" t="s">
        <v>69</v>
      </c>
      <c r="AQ14">
        <v>117</v>
      </c>
      <c r="AR14" t="s">
        <v>119</v>
      </c>
      <c r="AS14" t="s">
        <v>69</v>
      </c>
      <c r="AT14" t="s">
        <v>120</v>
      </c>
      <c r="AU14" t="s">
        <v>69</v>
      </c>
      <c r="AV14">
        <v>147.131</v>
      </c>
      <c r="AW14" t="s">
        <v>69</v>
      </c>
      <c r="AX14" t="s">
        <v>69</v>
      </c>
      <c r="AY14">
        <v>122</v>
      </c>
      <c r="AZ14" t="s">
        <v>153</v>
      </c>
      <c r="BA14" t="s">
        <v>69</v>
      </c>
      <c r="BB14" t="s">
        <v>148</v>
      </c>
      <c r="BC14" t="s">
        <v>69</v>
      </c>
      <c r="BD14">
        <v>132.119</v>
      </c>
      <c r="BE14" t="s">
        <v>69</v>
      </c>
      <c r="BF14" t="s">
        <v>69</v>
      </c>
      <c r="BG14">
        <v>123</v>
      </c>
      <c r="BH14" t="s">
        <v>76</v>
      </c>
      <c r="BI14" t="s">
        <v>69</v>
      </c>
      <c r="BJ14" t="s">
        <v>75</v>
      </c>
      <c r="BK14" t="s">
        <v>69</v>
      </c>
      <c r="BL14">
        <v>146.18899999999999</v>
      </c>
      <c r="BM14" t="s">
        <v>69</v>
      </c>
      <c r="BN14" t="s">
        <v>69</v>
      </c>
      <c r="BO14">
        <v>124</v>
      </c>
      <c r="BP14" t="s">
        <v>151</v>
      </c>
      <c r="BQ14" t="s">
        <v>69</v>
      </c>
      <c r="BR14" t="s">
        <v>152</v>
      </c>
      <c r="BS14" t="s">
        <v>69</v>
      </c>
      <c r="BT14">
        <v>165.19200000000001</v>
      </c>
      <c r="BU14" t="s">
        <v>69</v>
      </c>
      <c r="BV14" t="s">
        <v>69</v>
      </c>
    </row>
    <row r="15" spans="1:74" x14ac:dyDescent="0.25">
      <c r="A15">
        <v>7</v>
      </c>
      <c r="B15" t="str">
        <f>HYPERLINK("http://www.ncbi.nlm.nih.gov/protein/XP_046948193.1","XP_046948193.1")</f>
        <v>XP_046948193.1</v>
      </c>
      <c r="C15">
        <v>38764</v>
      </c>
      <c r="D15" t="str">
        <f>HYPERLINK("http://www.ncbi.nlm.nih.gov/Taxonomy/Browser/wwwtax.cgi?mode=Info&amp;id=61384&amp;lvl=3&amp;lin=f&amp;keep=1&amp;srchmode=1&amp;unlock","61384")</f>
        <v>61384</v>
      </c>
      <c r="E15" t="s">
        <v>66</v>
      </c>
      <c r="F15" t="str">
        <f>HYPERLINK("http://www.ncbi.nlm.nih.gov/Taxonomy/Browser/wwwtax.cgi?mode=Info&amp;id=61384&amp;lvl=3&amp;lin=f&amp;keep=1&amp;srchmode=1&amp;unlock","Lynx rufus")</f>
        <v>Lynx rufus</v>
      </c>
      <c r="G15" t="s">
        <v>93</v>
      </c>
      <c r="H15" t="str">
        <f>HYPERLINK("http://www.ncbi.nlm.nih.gov/protein/XP_046948193.1","ras GTPase-activating protein-binding protein 1")</f>
        <v>ras GTPase-activating protein-binding protein 1</v>
      </c>
      <c r="I15" t="s">
        <v>259</v>
      </c>
      <c r="J15" t="s">
        <v>69</v>
      </c>
      <c r="K15">
        <v>15</v>
      </c>
      <c r="L15" t="s">
        <v>151</v>
      </c>
      <c r="M15" t="s">
        <v>69</v>
      </c>
      <c r="N15" t="s">
        <v>152</v>
      </c>
      <c r="O15" t="s">
        <v>69</v>
      </c>
      <c r="P15">
        <v>165.19200000000001</v>
      </c>
      <c r="Q15" t="s">
        <v>69</v>
      </c>
      <c r="R15" t="s">
        <v>69</v>
      </c>
      <c r="S15">
        <v>18</v>
      </c>
      <c r="T15" t="s">
        <v>147</v>
      </c>
      <c r="U15" t="s">
        <v>69</v>
      </c>
      <c r="V15" t="s">
        <v>148</v>
      </c>
      <c r="W15" t="s">
        <v>69</v>
      </c>
      <c r="X15">
        <v>146.14599999999999</v>
      </c>
      <c r="Y15" t="s">
        <v>69</v>
      </c>
      <c r="Z15" t="s">
        <v>69</v>
      </c>
      <c r="AA15">
        <v>32</v>
      </c>
      <c r="AB15" t="s">
        <v>74</v>
      </c>
      <c r="AC15" t="s">
        <v>69</v>
      </c>
      <c r="AD15" t="s">
        <v>75</v>
      </c>
      <c r="AE15" t="s">
        <v>69</v>
      </c>
      <c r="AF15">
        <v>174.203</v>
      </c>
      <c r="AG15" t="s">
        <v>69</v>
      </c>
      <c r="AH15" t="s">
        <v>69</v>
      </c>
      <c r="AI15">
        <v>34</v>
      </c>
      <c r="AJ15" t="s">
        <v>69</v>
      </c>
      <c r="AK15" t="s">
        <v>69</v>
      </c>
      <c r="AL15" t="s">
        <v>152</v>
      </c>
      <c r="AM15" t="s">
        <v>69</v>
      </c>
      <c r="AN15">
        <v>181.191</v>
      </c>
      <c r="AO15" t="s">
        <v>69</v>
      </c>
      <c r="AP15" t="s">
        <v>69</v>
      </c>
      <c r="AQ15">
        <v>117</v>
      </c>
      <c r="AR15" t="s">
        <v>119</v>
      </c>
      <c r="AS15" t="s">
        <v>69</v>
      </c>
      <c r="AT15" t="s">
        <v>120</v>
      </c>
      <c r="AU15" t="s">
        <v>69</v>
      </c>
      <c r="AV15">
        <v>147.131</v>
      </c>
      <c r="AW15" t="s">
        <v>69</v>
      </c>
      <c r="AX15" t="s">
        <v>69</v>
      </c>
      <c r="AY15">
        <v>122</v>
      </c>
      <c r="AZ15" t="s">
        <v>153</v>
      </c>
      <c r="BA15" t="s">
        <v>69</v>
      </c>
      <c r="BB15" t="s">
        <v>148</v>
      </c>
      <c r="BC15" t="s">
        <v>69</v>
      </c>
      <c r="BD15">
        <v>132.119</v>
      </c>
      <c r="BE15" t="s">
        <v>69</v>
      </c>
      <c r="BF15" t="s">
        <v>69</v>
      </c>
      <c r="BG15">
        <v>123</v>
      </c>
      <c r="BH15" t="s">
        <v>76</v>
      </c>
      <c r="BI15" t="s">
        <v>69</v>
      </c>
      <c r="BJ15" t="s">
        <v>75</v>
      </c>
      <c r="BK15" t="s">
        <v>69</v>
      </c>
      <c r="BL15">
        <v>146.18899999999999</v>
      </c>
      <c r="BM15" t="s">
        <v>69</v>
      </c>
      <c r="BN15" t="s">
        <v>69</v>
      </c>
      <c r="BO15">
        <v>124</v>
      </c>
      <c r="BP15" t="s">
        <v>151</v>
      </c>
      <c r="BQ15" t="s">
        <v>69</v>
      </c>
      <c r="BR15" t="s">
        <v>152</v>
      </c>
      <c r="BS15" t="s">
        <v>69</v>
      </c>
      <c r="BT15">
        <v>165.19200000000001</v>
      </c>
      <c r="BU15" t="s">
        <v>69</v>
      </c>
      <c r="BV15" t="s">
        <v>69</v>
      </c>
    </row>
    <row r="16" spans="1:74" x14ac:dyDescent="0.25">
      <c r="A16">
        <v>7</v>
      </c>
      <c r="B16" t="str">
        <f>HYPERLINK("http://www.ncbi.nlm.nih.gov/protein/XP_038352930.1","XP_038352930.1")</f>
        <v>XP_038352930.1</v>
      </c>
      <c r="C16">
        <v>136357</v>
      </c>
      <c r="D16" t="str">
        <f>HYPERLINK("http://www.ncbi.nlm.nih.gov/Taxonomy/Browser/wwwtax.cgi?mode=Info&amp;id=9615&amp;lvl=3&amp;lin=f&amp;keep=1&amp;srchmode=1&amp;unlock","9615")</f>
        <v>9615</v>
      </c>
      <c r="E16" t="s">
        <v>66</v>
      </c>
      <c r="F16" t="str">
        <f>HYPERLINK("http://www.ncbi.nlm.nih.gov/Taxonomy/Browser/wwwtax.cgi?mode=Info&amp;id=9615&amp;lvl=3&amp;lin=f&amp;keep=1&amp;srchmode=1&amp;unlock","Canis lupus familiaris")</f>
        <v>Canis lupus familiaris</v>
      </c>
      <c r="G16" t="s">
        <v>84</v>
      </c>
      <c r="H16" t="str">
        <f>HYPERLINK("http://www.ncbi.nlm.nih.gov/protein/XP_038352930.1","ras GTPase-activating protein-binding protein 1")</f>
        <v>ras GTPase-activating protein-binding protein 1</v>
      </c>
      <c r="I16" t="s">
        <v>259</v>
      </c>
      <c r="J16" t="s">
        <v>69</v>
      </c>
      <c r="K16">
        <v>15</v>
      </c>
      <c r="L16" t="s">
        <v>151</v>
      </c>
      <c r="M16" t="s">
        <v>69</v>
      </c>
      <c r="N16" t="s">
        <v>152</v>
      </c>
      <c r="O16" t="s">
        <v>69</v>
      </c>
      <c r="P16">
        <v>165.19200000000001</v>
      </c>
      <c r="Q16" t="s">
        <v>69</v>
      </c>
      <c r="R16" t="s">
        <v>69</v>
      </c>
      <c r="S16">
        <v>18</v>
      </c>
      <c r="T16" t="s">
        <v>147</v>
      </c>
      <c r="U16" t="s">
        <v>69</v>
      </c>
      <c r="V16" t="s">
        <v>148</v>
      </c>
      <c r="W16" t="s">
        <v>69</v>
      </c>
      <c r="X16">
        <v>146.14599999999999</v>
      </c>
      <c r="Y16" t="s">
        <v>69</v>
      </c>
      <c r="Z16" t="s">
        <v>69</v>
      </c>
      <c r="AA16">
        <v>32</v>
      </c>
      <c r="AB16" t="s">
        <v>74</v>
      </c>
      <c r="AC16" t="s">
        <v>69</v>
      </c>
      <c r="AD16" t="s">
        <v>75</v>
      </c>
      <c r="AE16" t="s">
        <v>69</v>
      </c>
      <c r="AF16">
        <v>174.203</v>
      </c>
      <c r="AG16" t="s">
        <v>69</v>
      </c>
      <c r="AH16" t="s">
        <v>69</v>
      </c>
      <c r="AI16">
        <v>34</v>
      </c>
      <c r="AJ16" t="s">
        <v>69</v>
      </c>
      <c r="AK16" t="s">
        <v>69</v>
      </c>
      <c r="AL16" t="s">
        <v>152</v>
      </c>
      <c r="AM16" t="s">
        <v>69</v>
      </c>
      <c r="AN16">
        <v>181.191</v>
      </c>
      <c r="AO16" t="s">
        <v>69</v>
      </c>
      <c r="AP16" t="s">
        <v>69</v>
      </c>
      <c r="AQ16">
        <v>117</v>
      </c>
      <c r="AR16" t="s">
        <v>119</v>
      </c>
      <c r="AS16" t="s">
        <v>69</v>
      </c>
      <c r="AT16" t="s">
        <v>120</v>
      </c>
      <c r="AU16" t="s">
        <v>69</v>
      </c>
      <c r="AV16">
        <v>147.131</v>
      </c>
      <c r="AW16" t="s">
        <v>69</v>
      </c>
      <c r="AX16" t="s">
        <v>69</v>
      </c>
      <c r="AY16">
        <v>122</v>
      </c>
      <c r="AZ16" t="s">
        <v>153</v>
      </c>
      <c r="BA16" t="s">
        <v>69</v>
      </c>
      <c r="BB16" t="s">
        <v>148</v>
      </c>
      <c r="BC16" t="s">
        <v>69</v>
      </c>
      <c r="BD16">
        <v>132.119</v>
      </c>
      <c r="BE16" t="s">
        <v>69</v>
      </c>
      <c r="BF16" t="s">
        <v>69</v>
      </c>
      <c r="BG16">
        <v>123</v>
      </c>
      <c r="BH16" t="s">
        <v>76</v>
      </c>
      <c r="BI16" t="s">
        <v>69</v>
      </c>
      <c r="BJ16" t="s">
        <v>75</v>
      </c>
      <c r="BK16" t="s">
        <v>69</v>
      </c>
      <c r="BL16">
        <v>146.18899999999999</v>
      </c>
      <c r="BM16" t="s">
        <v>69</v>
      </c>
      <c r="BN16" t="s">
        <v>69</v>
      </c>
      <c r="BO16">
        <v>124</v>
      </c>
      <c r="BP16" t="s">
        <v>151</v>
      </c>
      <c r="BQ16" t="s">
        <v>69</v>
      </c>
      <c r="BR16" t="s">
        <v>152</v>
      </c>
      <c r="BS16" t="s">
        <v>69</v>
      </c>
      <c r="BT16">
        <v>165.19200000000001</v>
      </c>
      <c r="BU16" t="s">
        <v>69</v>
      </c>
      <c r="BV16" t="s">
        <v>69</v>
      </c>
    </row>
    <row r="17" spans="1:74" x14ac:dyDescent="0.25">
      <c r="A17">
        <v>7</v>
      </c>
      <c r="B17" t="str">
        <f>HYPERLINK("http://www.ncbi.nlm.nih.gov/protein/XP_025864026.1","XP_025864026.1")</f>
        <v>XP_025864026.1</v>
      </c>
      <c r="C17">
        <v>38435</v>
      </c>
      <c r="D17" t="str">
        <f>HYPERLINK("http://www.ncbi.nlm.nih.gov/Taxonomy/Browser/wwwtax.cgi?mode=Info&amp;id=9627&amp;lvl=3&amp;lin=f&amp;keep=1&amp;srchmode=1&amp;unlock","9627")</f>
        <v>9627</v>
      </c>
      <c r="E17" t="s">
        <v>66</v>
      </c>
      <c r="F17" t="str">
        <f>HYPERLINK("http://www.ncbi.nlm.nih.gov/Taxonomy/Browser/wwwtax.cgi?mode=Info&amp;id=9627&amp;lvl=3&amp;lin=f&amp;keep=1&amp;srchmode=1&amp;unlock","Vulpes vulpes")</f>
        <v>Vulpes vulpes</v>
      </c>
      <c r="G17" t="s">
        <v>95</v>
      </c>
      <c r="H17" t="str">
        <f>HYPERLINK("http://www.ncbi.nlm.nih.gov/protein/XP_025864026.1","ras GTPase-activating protein-binding protein 1 isoform X2")</f>
        <v>ras GTPase-activating protein-binding protein 1 isoform X2</v>
      </c>
      <c r="I17" t="s">
        <v>259</v>
      </c>
      <c r="J17" t="s">
        <v>69</v>
      </c>
      <c r="K17">
        <v>15</v>
      </c>
      <c r="L17" t="s">
        <v>151</v>
      </c>
      <c r="M17" t="s">
        <v>69</v>
      </c>
      <c r="N17" t="s">
        <v>152</v>
      </c>
      <c r="O17" t="s">
        <v>69</v>
      </c>
      <c r="P17">
        <v>165.19200000000001</v>
      </c>
      <c r="Q17" t="s">
        <v>69</v>
      </c>
      <c r="R17" t="s">
        <v>69</v>
      </c>
      <c r="S17">
        <v>18</v>
      </c>
      <c r="T17" t="s">
        <v>147</v>
      </c>
      <c r="U17" t="s">
        <v>69</v>
      </c>
      <c r="V17" t="s">
        <v>148</v>
      </c>
      <c r="W17" t="s">
        <v>69</v>
      </c>
      <c r="X17">
        <v>146.14599999999999</v>
      </c>
      <c r="Y17" t="s">
        <v>69</v>
      </c>
      <c r="Z17" t="s">
        <v>69</v>
      </c>
      <c r="AA17">
        <v>32</v>
      </c>
      <c r="AB17" t="s">
        <v>74</v>
      </c>
      <c r="AC17" t="s">
        <v>69</v>
      </c>
      <c r="AD17" t="s">
        <v>75</v>
      </c>
      <c r="AE17" t="s">
        <v>69</v>
      </c>
      <c r="AF17">
        <v>174.203</v>
      </c>
      <c r="AG17" t="s">
        <v>69</v>
      </c>
      <c r="AH17" t="s">
        <v>69</v>
      </c>
      <c r="AI17">
        <v>34</v>
      </c>
      <c r="AJ17" t="s">
        <v>69</v>
      </c>
      <c r="AK17" t="s">
        <v>69</v>
      </c>
      <c r="AL17" t="s">
        <v>152</v>
      </c>
      <c r="AM17" t="s">
        <v>69</v>
      </c>
      <c r="AN17">
        <v>181.191</v>
      </c>
      <c r="AO17" t="s">
        <v>69</v>
      </c>
      <c r="AP17" t="s">
        <v>69</v>
      </c>
      <c r="AQ17">
        <v>117</v>
      </c>
      <c r="AR17" t="s">
        <v>119</v>
      </c>
      <c r="AS17" t="s">
        <v>69</v>
      </c>
      <c r="AT17" t="s">
        <v>120</v>
      </c>
      <c r="AU17" t="s">
        <v>69</v>
      </c>
      <c r="AV17">
        <v>147.131</v>
      </c>
      <c r="AW17" t="s">
        <v>69</v>
      </c>
      <c r="AX17" t="s">
        <v>69</v>
      </c>
      <c r="AY17">
        <v>122</v>
      </c>
      <c r="AZ17" t="s">
        <v>153</v>
      </c>
      <c r="BA17" t="s">
        <v>69</v>
      </c>
      <c r="BB17" t="s">
        <v>148</v>
      </c>
      <c r="BC17" t="s">
        <v>69</v>
      </c>
      <c r="BD17">
        <v>132.119</v>
      </c>
      <c r="BE17" t="s">
        <v>69</v>
      </c>
      <c r="BF17" t="s">
        <v>69</v>
      </c>
      <c r="BG17">
        <v>123</v>
      </c>
      <c r="BH17" t="s">
        <v>76</v>
      </c>
      <c r="BI17" t="s">
        <v>69</v>
      </c>
      <c r="BJ17" t="s">
        <v>75</v>
      </c>
      <c r="BK17" t="s">
        <v>69</v>
      </c>
      <c r="BL17">
        <v>146.18899999999999</v>
      </c>
      <c r="BM17" t="s">
        <v>69</v>
      </c>
      <c r="BN17" t="s">
        <v>69</v>
      </c>
      <c r="BO17">
        <v>124</v>
      </c>
      <c r="BP17" t="s">
        <v>151</v>
      </c>
      <c r="BQ17" t="s">
        <v>69</v>
      </c>
      <c r="BR17" t="s">
        <v>152</v>
      </c>
      <c r="BS17" t="s">
        <v>69</v>
      </c>
      <c r="BT17">
        <v>165.19200000000001</v>
      </c>
      <c r="BU17" t="s">
        <v>69</v>
      </c>
      <c r="BV17" t="s">
        <v>69</v>
      </c>
    </row>
    <row r="18" spans="1:74" x14ac:dyDescent="0.25">
      <c r="A18">
        <v>7</v>
      </c>
      <c r="B18" t="str">
        <f>HYPERLINK("http://www.ncbi.nlm.nih.gov/protein/XP_045855103.1","XP_045855103.1")</f>
        <v>XP_045855103.1</v>
      </c>
      <c r="C18">
        <v>50752</v>
      </c>
      <c r="D18" t="str">
        <f>HYPERLINK("http://www.ncbi.nlm.nih.gov/Taxonomy/Browser/wwwtax.cgi?mode=Info&amp;id=9662&amp;lvl=3&amp;lin=f&amp;keep=1&amp;srchmode=1&amp;unlock","9662")</f>
        <v>9662</v>
      </c>
      <c r="E18" t="s">
        <v>66</v>
      </c>
      <c r="F18" t="str">
        <f>HYPERLINK("http://www.ncbi.nlm.nih.gov/Taxonomy/Browser/wwwtax.cgi?mode=Info&amp;id=9662&amp;lvl=3&amp;lin=f&amp;keep=1&amp;srchmode=1&amp;unlock","Meles meles")</f>
        <v>Meles meles</v>
      </c>
      <c r="G18" t="s">
        <v>99</v>
      </c>
      <c r="H18" t="str">
        <f>HYPERLINK("http://www.ncbi.nlm.nih.gov/protein/XP_045855103.1","ras GTPase-activating protein-binding protein 1")</f>
        <v>ras GTPase-activating protein-binding protein 1</v>
      </c>
      <c r="I18" t="s">
        <v>259</v>
      </c>
      <c r="J18" t="s">
        <v>69</v>
      </c>
      <c r="K18">
        <v>15</v>
      </c>
      <c r="L18" t="s">
        <v>151</v>
      </c>
      <c r="M18" t="s">
        <v>69</v>
      </c>
      <c r="N18" t="s">
        <v>152</v>
      </c>
      <c r="O18" t="s">
        <v>69</v>
      </c>
      <c r="P18">
        <v>165.19200000000001</v>
      </c>
      <c r="Q18" t="s">
        <v>69</v>
      </c>
      <c r="R18" t="s">
        <v>69</v>
      </c>
      <c r="S18">
        <v>18</v>
      </c>
      <c r="T18" t="s">
        <v>147</v>
      </c>
      <c r="U18" t="s">
        <v>69</v>
      </c>
      <c r="V18" t="s">
        <v>148</v>
      </c>
      <c r="W18" t="s">
        <v>69</v>
      </c>
      <c r="X18">
        <v>146.14599999999999</v>
      </c>
      <c r="Y18" t="s">
        <v>69</v>
      </c>
      <c r="Z18" t="s">
        <v>69</v>
      </c>
      <c r="AA18">
        <v>32</v>
      </c>
      <c r="AB18" t="s">
        <v>74</v>
      </c>
      <c r="AC18" t="s">
        <v>69</v>
      </c>
      <c r="AD18" t="s">
        <v>75</v>
      </c>
      <c r="AE18" t="s">
        <v>69</v>
      </c>
      <c r="AF18">
        <v>174.203</v>
      </c>
      <c r="AG18" t="s">
        <v>69</v>
      </c>
      <c r="AH18" t="s">
        <v>69</v>
      </c>
      <c r="AI18">
        <v>34</v>
      </c>
      <c r="AJ18" t="s">
        <v>69</v>
      </c>
      <c r="AK18" t="s">
        <v>69</v>
      </c>
      <c r="AL18" t="s">
        <v>152</v>
      </c>
      <c r="AM18" t="s">
        <v>69</v>
      </c>
      <c r="AN18">
        <v>181.191</v>
      </c>
      <c r="AO18" t="s">
        <v>69</v>
      </c>
      <c r="AP18" t="s">
        <v>69</v>
      </c>
      <c r="AQ18">
        <v>117</v>
      </c>
      <c r="AR18" t="s">
        <v>119</v>
      </c>
      <c r="AS18" t="s">
        <v>69</v>
      </c>
      <c r="AT18" t="s">
        <v>120</v>
      </c>
      <c r="AU18" t="s">
        <v>69</v>
      </c>
      <c r="AV18">
        <v>147.131</v>
      </c>
      <c r="AW18" t="s">
        <v>69</v>
      </c>
      <c r="AX18" t="s">
        <v>69</v>
      </c>
      <c r="AY18">
        <v>122</v>
      </c>
      <c r="AZ18" t="s">
        <v>153</v>
      </c>
      <c r="BA18" t="s">
        <v>69</v>
      </c>
      <c r="BB18" t="s">
        <v>148</v>
      </c>
      <c r="BC18" t="s">
        <v>69</v>
      </c>
      <c r="BD18">
        <v>132.119</v>
      </c>
      <c r="BE18" t="s">
        <v>69</v>
      </c>
      <c r="BF18" t="s">
        <v>69</v>
      </c>
      <c r="BG18">
        <v>123</v>
      </c>
      <c r="BH18" t="s">
        <v>76</v>
      </c>
      <c r="BI18" t="s">
        <v>69</v>
      </c>
      <c r="BJ18" t="s">
        <v>75</v>
      </c>
      <c r="BK18" t="s">
        <v>69</v>
      </c>
      <c r="BL18">
        <v>146.18899999999999</v>
      </c>
      <c r="BM18" t="s">
        <v>69</v>
      </c>
      <c r="BN18" t="s">
        <v>69</v>
      </c>
      <c r="BO18">
        <v>124</v>
      </c>
      <c r="BP18" t="s">
        <v>151</v>
      </c>
      <c r="BQ18" t="s">
        <v>69</v>
      </c>
      <c r="BR18" t="s">
        <v>152</v>
      </c>
      <c r="BS18" t="s">
        <v>69</v>
      </c>
      <c r="BT18">
        <v>165.19200000000001</v>
      </c>
      <c r="BU18" t="s">
        <v>69</v>
      </c>
      <c r="BV18" t="s">
        <v>69</v>
      </c>
    </row>
    <row r="19" spans="1:74" x14ac:dyDescent="0.25">
      <c r="A19">
        <v>7</v>
      </c>
      <c r="B19" t="str">
        <f>HYPERLINK("http://www.ncbi.nlm.nih.gov/protein/XP_047411897.1","XP_047411897.1")</f>
        <v>XP_047411897.1</v>
      </c>
      <c r="C19">
        <v>74939</v>
      </c>
      <c r="D19" t="str">
        <f>HYPERLINK("http://www.ncbi.nlm.nih.gov/Taxonomy/Browser/wwwtax.cgi?mode=Info&amp;id=30640&amp;lvl=3&amp;lin=f&amp;keep=1&amp;srchmode=1&amp;unlock","30640")</f>
        <v>30640</v>
      </c>
      <c r="E19" t="s">
        <v>66</v>
      </c>
      <c r="F19" t="str">
        <f>HYPERLINK("http://www.ncbi.nlm.nih.gov/Taxonomy/Browser/wwwtax.cgi?mode=Info&amp;id=30640&amp;lvl=3&amp;lin=f&amp;keep=1&amp;srchmode=1&amp;unlock","Neosciurus carolinensis")</f>
        <v>Neosciurus carolinensis</v>
      </c>
      <c r="G19" t="s">
        <v>101</v>
      </c>
      <c r="H19" t="str">
        <f>HYPERLINK("http://www.ncbi.nlm.nih.gov/protein/XP_047411897.1","ras GTPase-activating protein-binding protein 1")</f>
        <v>ras GTPase-activating protein-binding protein 1</v>
      </c>
      <c r="I19" t="s">
        <v>259</v>
      </c>
      <c r="J19" t="s">
        <v>69</v>
      </c>
      <c r="K19">
        <v>15</v>
      </c>
      <c r="L19" t="s">
        <v>151</v>
      </c>
      <c r="M19" t="s">
        <v>69</v>
      </c>
      <c r="N19" t="s">
        <v>152</v>
      </c>
      <c r="O19" t="s">
        <v>69</v>
      </c>
      <c r="P19">
        <v>165.19200000000001</v>
      </c>
      <c r="Q19" t="s">
        <v>69</v>
      </c>
      <c r="R19" t="s">
        <v>69</v>
      </c>
      <c r="S19">
        <v>18</v>
      </c>
      <c r="T19" t="s">
        <v>147</v>
      </c>
      <c r="U19" t="s">
        <v>69</v>
      </c>
      <c r="V19" t="s">
        <v>148</v>
      </c>
      <c r="W19" t="s">
        <v>69</v>
      </c>
      <c r="X19">
        <v>146.14599999999999</v>
      </c>
      <c r="Y19" t="s">
        <v>69</v>
      </c>
      <c r="Z19" t="s">
        <v>69</v>
      </c>
      <c r="AA19">
        <v>32</v>
      </c>
      <c r="AB19" t="s">
        <v>74</v>
      </c>
      <c r="AC19" t="s">
        <v>69</v>
      </c>
      <c r="AD19" t="s">
        <v>75</v>
      </c>
      <c r="AE19" t="s">
        <v>69</v>
      </c>
      <c r="AF19">
        <v>174.203</v>
      </c>
      <c r="AG19" t="s">
        <v>69</v>
      </c>
      <c r="AH19" t="s">
        <v>69</v>
      </c>
      <c r="AI19">
        <v>34</v>
      </c>
      <c r="AJ19" t="s">
        <v>69</v>
      </c>
      <c r="AK19" t="s">
        <v>69</v>
      </c>
      <c r="AL19" t="s">
        <v>152</v>
      </c>
      <c r="AM19" t="s">
        <v>69</v>
      </c>
      <c r="AN19">
        <v>181.191</v>
      </c>
      <c r="AO19" t="s">
        <v>69</v>
      </c>
      <c r="AP19" t="s">
        <v>69</v>
      </c>
      <c r="AQ19">
        <v>117</v>
      </c>
      <c r="AR19" t="s">
        <v>119</v>
      </c>
      <c r="AS19" t="s">
        <v>69</v>
      </c>
      <c r="AT19" t="s">
        <v>120</v>
      </c>
      <c r="AU19" t="s">
        <v>69</v>
      </c>
      <c r="AV19">
        <v>147.131</v>
      </c>
      <c r="AW19" t="s">
        <v>69</v>
      </c>
      <c r="AX19" t="s">
        <v>69</v>
      </c>
      <c r="AY19">
        <v>122</v>
      </c>
      <c r="AZ19" t="s">
        <v>153</v>
      </c>
      <c r="BA19" t="s">
        <v>69</v>
      </c>
      <c r="BB19" t="s">
        <v>148</v>
      </c>
      <c r="BC19" t="s">
        <v>69</v>
      </c>
      <c r="BD19">
        <v>132.119</v>
      </c>
      <c r="BE19" t="s">
        <v>69</v>
      </c>
      <c r="BF19" t="s">
        <v>69</v>
      </c>
      <c r="BG19">
        <v>123</v>
      </c>
      <c r="BH19" t="s">
        <v>76</v>
      </c>
      <c r="BI19" t="s">
        <v>69</v>
      </c>
      <c r="BJ19" t="s">
        <v>75</v>
      </c>
      <c r="BK19" t="s">
        <v>69</v>
      </c>
      <c r="BL19">
        <v>146.18899999999999</v>
      </c>
      <c r="BM19" t="s">
        <v>69</v>
      </c>
      <c r="BN19" t="s">
        <v>69</v>
      </c>
      <c r="BO19">
        <v>124</v>
      </c>
      <c r="BP19" t="s">
        <v>151</v>
      </c>
      <c r="BQ19" t="s">
        <v>69</v>
      </c>
      <c r="BR19" t="s">
        <v>152</v>
      </c>
      <c r="BS19" t="s">
        <v>69</v>
      </c>
      <c r="BT19">
        <v>165.19200000000001</v>
      </c>
      <c r="BU19" t="s">
        <v>69</v>
      </c>
      <c r="BV19" t="s">
        <v>69</v>
      </c>
    </row>
    <row r="20" spans="1:74" x14ac:dyDescent="0.25">
      <c r="A20">
        <v>7</v>
      </c>
      <c r="B20" t="str">
        <f>HYPERLINK("http://www.ncbi.nlm.nih.gov/protein/XP_006150884.1","XP_006150884.1")</f>
        <v>XP_006150884.1</v>
      </c>
      <c r="C20">
        <v>59507</v>
      </c>
      <c r="D20" t="str">
        <f>HYPERLINK("http://www.ncbi.nlm.nih.gov/Taxonomy/Browser/wwwtax.cgi?mode=Info&amp;id=246437&amp;lvl=3&amp;lin=f&amp;keep=1&amp;srchmode=1&amp;unlock","246437")</f>
        <v>246437</v>
      </c>
      <c r="E20" t="s">
        <v>66</v>
      </c>
      <c r="F20" t="str">
        <f>HYPERLINK("http://www.ncbi.nlm.nih.gov/Taxonomy/Browser/wwwtax.cgi?mode=Info&amp;id=246437&amp;lvl=3&amp;lin=f&amp;keep=1&amp;srchmode=1&amp;unlock","Tupaia chinensis")</f>
        <v>Tupaia chinensis</v>
      </c>
      <c r="G20" t="s">
        <v>97</v>
      </c>
      <c r="H20" t="str">
        <f>HYPERLINK("http://www.ncbi.nlm.nih.gov/protein/XP_006150884.1","ras GTPase-activating protein-binding protein 1 isoform X1")</f>
        <v>ras GTPase-activating protein-binding protein 1 isoform X1</v>
      </c>
      <c r="I20" t="s">
        <v>259</v>
      </c>
      <c r="J20" t="s">
        <v>69</v>
      </c>
      <c r="K20">
        <v>27</v>
      </c>
      <c r="L20" t="s">
        <v>151</v>
      </c>
      <c r="M20" t="s">
        <v>69</v>
      </c>
      <c r="N20" t="s">
        <v>152</v>
      </c>
      <c r="O20" t="s">
        <v>69</v>
      </c>
      <c r="P20">
        <v>165.19200000000001</v>
      </c>
      <c r="Q20" t="s">
        <v>69</v>
      </c>
      <c r="R20" t="s">
        <v>69</v>
      </c>
      <c r="S20">
        <v>30</v>
      </c>
      <c r="T20" t="s">
        <v>147</v>
      </c>
      <c r="U20" t="s">
        <v>69</v>
      </c>
      <c r="V20" t="s">
        <v>148</v>
      </c>
      <c r="W20" t="s">
        <v>69</v>
      </c>
      <c r="X20">
        <v>146.14599999999999</v>
      </c>
      <c r="Y20" t="s">
        <v>69</v>
      </c>
      <c r="Z20" t="s">
        <v>69</v>
      </c>
      <c r="AA20">
        <v>44</v>
      </c>
      <c r="AB20" t="s">
        <v>74</v>
      </c>
      <c r="AC20" t="s">
        <v>69</v>
      </c>
      <c r="AD20" t="s">
        <v>75</v>
      </c>
      <c r="AE20" t="s">
        <v>69</v>
      </c>
      <c r="AF20">
        <v>174.203</v>
      </c>
      <c r="AG20" t="s">
        <v>69</v>
      </c>
      <c r="AH20" t="s">
        <v>69</v>
      </c>
      <c r="AI20">
        <v>46</v>
      </c>
      <c r="AJ20" t="s">
        <v>69</v>
      </c>
      <c r="AK20" t="s">
        <v>69</v>
      </c>
      <c r="AL20" t="s">
        <v>152</v>
      </c>
      <c r="AM20" t="s">
        <v>69</v>
      </c>
      <c r="AN20">
        <v>181.191</v>
      </c>
      <c r="AO20" t="s">
        <v>69</v>
      </c>
      <c r="AP20" t="s">
        <v>69</v>
      </c>
      <c r="AQ20">
        <v>129</v>
      </c>
      <c r="AR20" t="s">
        <v>119</v>
      </c>
      <c r="AS20" t="s">
        <v>69</v>
      </c>
      <c r="AT20" t="s">
        <v>120</v>
      </c>
      <c r="AU20" t="s">
        <v>69</v>
      </c>
      <c r="AV20">
        <v>147.131</v>
      </c>
      <c r="AW20" t="s">
        <v>69</v>
      </c>
      <c r="AX20" t="s">
        <v>69</v>
      </c>
      <c r="AY20">
        <v>134</v>
      </c>
      <c r="AZ20" t="s">
        <v>153</v>
      </c>
      <c r="BA20" t="s">
        <v>69</v>
      </c>
      <c r="BB20" t="s">
        <v>148</v>
      </c>
      <c r="BC20" t="s">
        <v>69</v>
      </c>
      <c r="BD20">
        <v>132.119</v>
      </c>
      <c r="BE20" t="s">
        <v>69</v>
      </c>
      <c r="BF20" t="s">
        <v>69</v>
      </c>
      <c r="BG20">
        <v>135</v>
      </c>
      <c r="BH20" t="s">
        <v>76</v>
      </c>
      <c r="BI20" t="s">
        <v>69</v>
      </c>
      <c r="BJ20" t="s">
        <v>75</v>
      </c>
      <c r="BK20" t="s">
        <v>69</v>
      </c>
      <c r="BL20">
        <v>146.18899999999999</v>
      </c>
      <c r="BM20" t="s">
        <v>69</v>
      </c>
      <c r="BN20" t="s">
        <v>69</v>
      </c>
      <c r="BO20">
        <v>136</v>
      </c>
      <c r="BP20" t="s">
        <v>151</v>
      </c>
      <c r="BQ20" t="s">
        <v>69</v>
      </c>
      <c r="BR20" t="s">
        <v>152</v>
      </c>
      <c r="BS20" t="s">
        <v>69</v>
      </c>
      <c r="BT20">
        <v>165.19200000000001</v>
      </c>
      <c r="BU20" t="s">
        <v>69</v>
      </c>
      <c r="BV20" t="s">
        <v>69</v>
      </c>
    </row>
    <row r="21" spans="1:74" x14ac:dyDescent="0.25">
      <c r="A21">
        <v>7</v>
      </c>
      <c r="B21" t="str">
        <f>HYPERLINK("http://www.ncbi.nlm.nih.gov/protein/XP_044086922.1","XP_044086922.1")</f>
        <v>XP_044086922.1</v>
      </c>
      <c r="C21">
        <v>44640</v>
      </c>
      <c r="D21" t="str">
        <f>HYPERLINK("http://www.ncbi.nlm.nih.gov/Taxonomy/Browser/wwwtax.cgi?mode=Info&amp;id=452646&amp;lvl=3&amp;lin=f&amp;keep=1&amp;srchmode=1&amp;unlock","452646")</f>
        <v>452646</v>
      </c>
      <c r="E21" t="s">
        <v>66</v>
      </c>
      <c r="F21" t="str">
        <f>HYPERLINK("http://www.ncbi.nlm.nih.gov/Taxonomy/Browser/wwwtax.cgi?mode=Info&amp;id=452646&amp;lvl=3&amp;lin=f&amp;keep=1&amp;srchmode=1&amp;unlock","Neogale vison")</f>
        <v>Neogale vison</v>
      </c>
      <c r="G21" t="s">
        <v>96</v>
      </c>
      <c r="H21" t="str">
        <f>HYPERLINK("http://www.ncbi.nlm.nih.gov/protein/XP_044086922.1","ras GTPase-activating protein-binding protein 1")</f>
        <v>ras GTPase-activating protein-binding protein 1</v>
      </c>
      <c r="I21" t="s">
        <v>259</v>
      </c>
      <c r="J21" t="s">
        <v>69</v>
      </c>
      <c r="K21">
        <v>15</v>
      </c>
      <c r="L21" t="s">
        <v>151</v>
      </c>
      <c r="M21" t="s">
        <v>69</v>
      </c>
      <c r="N21" t="s">
        <v>152</v>
      </c>
      <c r="O21" t="s">
        <v>69</v>
      </c>
      <c r="P21">
        <v>165.19200000000001</v>
      </c>
      <c r="Q21" t="s">
        <v>69</v>
      </c>
      <c r="R21" t="s">
        <v>69</v>
      </c>
      <c r="S21">
        <v>18</v>
      </c>
      <c r="T21" t="s">
        <v>147</v>
      </c>
      <c r="U21" t="s">
        <v>69</v>
      </c>
      <c r="V21" t="s">
        <v>148</v>
      </c>
      <c r="W21" t="s">
        <v>69</v>
      </c>
      <c r="X21">
        <v>146.14599999999999</v>
      </c>
      <c r="Y21" t="s">
        <v>69</v>
      </c>
      <c r="Z21" t="s">
        <v>69</v>
      </c>
      <c r="AA21">
        <v>32</v>
      </c>
      <c r="AB21" t="s">
        <v>74</v>
      </c>
      <c r="AC21" t="s">
        <v>69</v>
      </c>
      <c r="AD21" t="s">
        <v>75</v>
      </c>
      <c r="AE21" t="s">
        <v>69</v>
      </c>
      <c r="AF21">
        <v>174.203</v>
      </c>
      <c r="AG21" t="s">
        <v>69</v>
      </c>
      <c r="AH21" t="s">
        <v>69</v>
      </c>
      <c r="AI21">
        <v>34</v>
      </c>
      <c r="AJ21" t="s">
        <v>69</v>
      </c>
      <c r="AK21" t="s">
        <v>69</v>
      </c>
      <c r="AL21" t="s">
        <v>152</v>
      </c>
      <c r="AM21" t="s">
        <v>69</v>
      </c>
      <c r="AN21">
        <v>181.191</v>
      </c>
      <c r="AO21" t="s">
        <v>69</v>
      </c>
      <c r="AP21" t="s">
        <v>69</v>
      </c>
      <c r="AQ21">
        <v>117</v>
      </c>
      <c r="AR21" t="s">
        <v>119</v>
      </c>
      <c r="AS21" t="s">
        <v>69</v>
      </c>
      <c r="AT21" t="s">
        <v>120</v>
      </c>
      <c r="AU21" t="s">
        <v>69</v>
      </c>
      <c r="AV21">
        <v>147.131</v>
      </c>
      <c r="AW21" t="s">
        <v>69</v>
      </c>
      <c r="AX21" t="s">
        <v>69</v>
      </c>
      <c r="AY21">
        <v>122</v>
      </c>
      <c r="AZ21" t="s">
        <v>153</v>
      </c>
      <c r="BA21" t="s">
        <v>69</v>
      </c>
      <c r="BB21" t="s">
        <v>148</v>
      </c>
      <c r="BC21" t="s">
        <v>69</v>
      </c>
      <c r="BD21">
        <v>132.119</v>
      </c>
      <c r="BE21" t="s">
        <v>69</v>
      </c>
      <c r="BF21" t="s">
        <v>69</v>
      </c>
      <c r="BG21">
        <v>123</v>
      </c>
      <c r="BH21" t="s">
        <v>76</v>
      </c>
      <c r="BI21" t="s">
        <v>69</v>
      </c>
      <c r="BJ21" t="s">
        <v>75</v>
      </c>
      <c r="BK21" t="s">
        <v>69</v>
      </c>
      <c r="BL21">
        <v>146.18899999999999</v>
      </c>
      <c r="BM21" t="s">
        <v>69</v>
      </c>
      <c r="BN21" t="s">
        <v>69</v>
      </c>
      <c r="BO21">
        <v>124</v>
      </c>
      <c r="BP21" t="s">
        <v>151</v>
      </c>
      <c r="BQ21" t="s">
        <v>69</v>
      </c>
      <c r="BR21" t="s">
        <v>152</v>
      </c>
      <c r="BS21" t="s">
        <v>69</v>
      </c>
      <c r="BT21">
        <v>165.19200000000001</v>
      </c>
      <c r="BU21" t="s">
        <v>69</v>
      </c>
      <c r="BV21" t="s">
        <v>69</v>
      </c>
    </row>
    <row r="22" spans="1:74" x14ac:dyDescent="0.25">
      <c r="A22">
        <v>7</v>
      </c>
      <c r="B22" t="str">
        <f>HYPERLINK("http://www.ncbi.nlm.nih.gov/protein/XP_004737832.1","XP_004737832.1")</f>
        <v>XP_004737832.1</v>
      </c>
      <c r="C22">
        <v>58003</v>
      </c>
      <c r="D22" t="str">
        <f>HYPERLINK("http://www.ncbi.nlm.nih.gov/Taxonomy/Browser/wwwtax.cgi?mode=Info&amp;id=9669&amp;lvl=3&amp;lin=f&amp;keep=1&amp;srchmode=1&amp;unlock","9669")</f>
        <v>9669</v>
      </c>
      <c r="E22" t="s">
        <v>66</v>
      </c>
      <c r="F22" t="str">
        <f>HYPERLINK("http://www.ncbi.nlm.nih.gov/Taxonomy/Browser/wwwtax.cgi?mode=Info&amp;id=9669&amp;lvl=3&amp;lin=f&amp;keep=1&amp;srchmode=1&amp;unlock","Mustela putorius furo")</f>
        <v>Mustela putorius furo</v>
      </c>
      <c r="G22" t="s">
        <v>98</v>
      </c>
      <c r="H22" t="str">
        <f>HYPERLINK("http://www.ncbi.nlm.nih.gov/protein/XP_004737832.1","ras GTPase-activating protein-binding protein 1")</f>
        <v>ras GTPase-activating protein-binding protein 1</v>
      </c>
      <c r="I22" t="s">
        <v>259</v>
      </c>
      <c r="J22" t="s">
        <v>69</v>
      </c>
      <c r="K22">
        <v>15</v>
      </c>
      <c r="L22" t="s">
        <v>151</v>
      </c>
      <c r="M22" t="s">
        <v>69</v>
      </c>
      <c r="N22" t="s">
        <v>152</v>
      </c>
      <c r="O22" t="s">
        <v>69</v>
      </c>
      <c r="P22">
        <v>165.19200000000001</v>
      </c>
      <c r="Q22" t="s">
        <v>69</v>
      </c>
      <c r="R22" t="s">
        <v>69</v>
      </c>
      <c r="S22">
        <v>18</v>
      </c>
      <c r="T22" t="s">
        <v>147</v>
      </c>
      <c r="U22" t="s">
        <v>69</v>
      </c>
      <c r="V22" t="s">
        <v>148</v>
      </c>
      <c r="W22" t="s">
        <v>69</v>
      </c>
      <c r="X22">
        <v>146.14599999999999</v>
      </c>
      <c r="Y22" t="s">
        <v>69</v>
      </c>
      <c r="Z22" t="s">
        <v>69</v>
      </c>
      <c r="AA22">
        <v>32</v>
      </c>
      <c r="AB22" t="s">
        <v>74</v>
      </c>
      <c r="AC22" t="s">
        <v>69</v>
      </c>
      <c r="AD22" t="s">
        <v>75</v>
      </c>
      <c r="AE22" t="s">
        <v>69</v>
      </c>
      <c r="AF22">
        <v>174.203</v>
      </c>
      <c r="AG22" t="s">
        <v>69</v>
      </c>
      <c r="AH22" t="s">
        <v>69</v>
      </c>
      <c r="AI22">
        <v>34</v>
      </c>
      <c r="AJ22" t="s">
        <v>69</v>
      </c>
      <c r="AK22" t="s">
        <v>69</v>
      </c>
      <c r="AL22" t="s">
        <v>152</v>
      </c>
      <c r="AM22" t="s">
        <v>69</v>
      </c>
      <c r="AN22">
        <v>181.191</v>
      </c>
      <c r="AO22" t="s">
        <v>69</v>
      </c>
      <c r="AP22" t="s">
        <v>69</v>
      </c>
      <c r="AQ22">
        <v>117</v>
      </c>
      <c r="AR22" t="s">
        <v>119</v>
      </c>
      <c r="AS22" t="s">
        <v>69</v>
      </c>
      <c r="AT22" t="s">
        <v>120</v>
      </c>
      <c r="AU22" t="s">
        <v>69</v>
      </c>
      <c r="AV22">
        <v>147.131</v>
      </c>
      <c r="AW22" t="s">
        <v>69</v>
      </c>
      <c r="AX22" t="s">
        <v>69</v>
      </c>
      <c r="AY22">
        <v>122</v>
      </c>
      <c r="AZ22" t="s">
        <v>153</v>
      </c>
      <c r="BA22" t="s">
        <v>69</v>
      </c>
      <c r="BB22" t="s">
        <v>148</v>
      </c>
      <c r="BC22" t="s">
        <v>69</v>
      </c>
      <c r="BD22">
        <v>132.119</v>
      </c>
      <c r="BE22" t="s">
        <v>69</v>
      </c>
      <c r="BF22" t="s">
        <v>69</v>
      </c>
      <c r="BG22">
        <v>123</v>
      </c>
      <c r="BH22" t="s">
        <v>76</v>
      </c>
      <c r="BI22" t="s">
        <v>69</v>
      </c>
      <c r="BJ22" t="s">
        <v>75</v>
      </c>
      <c r="BK22" t="s">
        <v>69</v>
      </c>
      <c r="BL22">
        <v>146.18899999999999</v>
      </c>
      <c r="BM22" t="s">
        <v>69</v>
      </c>
      <c r="BN22" t="s">
        <v>69</v>
      </c>
      <c r="BO22">
        <v>124</v>
      </c>
      <c r="BP22" t="s">
        <v>151</v>
      </c>
      <c r="BQ22" t="s">
        <v>69</v>
      </c>
      <c r="BR22" t="s">
        <v>152</v>
      </c>
      <c r="BS22" t="s">
        <v>69</v>
      </c>
      <c r="BT22">
        <v>165.19200000000001</v>
      </c>
      <c r="BU22" t="s">
        <v>69</v>
      </c>
      <c r="BV22" t="s">
        <v>69</v>
      </c>
    </row>
    <row r="23" spans="1:74" x14ac:dyDescent="0.25">
      <c r="A23">
        <v>7</v>
      </c>
      <c r="B23" t="str">
        <f>HYPERLINK("http://www.ncbi.nlm.nih.gov/protein/XP_005209702.1","XP_005209702.1")</f>
        <v>XP_005209702.1</v>
      </c>
      <c r="C23">
        <v>136186</v>
      </c>
      <c r="D23" t="str">
        <f>HYPERLINK("http://www.ncbi.nlm.nih.gov/Taxonomy/Browser/wwwtax.cgi?mode=Info&amp;id=9913&amp;lvl=3&amp;lin=f&amp;keep=1&amp;srchmode=1&amp;unlock","9913")</f>
        <v>9913</v>
      </c>
      <c r="E23" t="s">
        <v>66</v>
      </c>
      <c r="F23" t="str">
        <f>HYPERLINK("http://www.ncbi.nlm.nih.gov/Taxonomy/Browser/wwwtax.cgi?mode=Info&amp;id=9913&amp;lvl=3&amp;lin=f&amp;keep=1&amp;srchmode=1&amp;unlock","Bos taurus")</f>
        <v>Bos taurus</v>
      </c>
      <c r="G23" t="s">
        <v>82</v>
      </c>
      <c r="H23" t="str">
        <f>HYPERLINK("http://www.ncbi.nlm.nih.gov/protein/XP_005209702.1","ras GTPase-activating protein-binding protein 1 isoform X1")</f>
        <v>ras GTPase-activating protein-binding protein 1 isoform X1</v>
      </c>
      <c r="I23" t="s">
        <v>259</v>
      </c>
      <c r="J23" t="s">
        <v>69</v>
      </c>
      <c r="K23">
        <v>54</v>
      </c>
      <c r="L23" t="s">
        <v>151</v>
      </c>
      <c r="M23" t="s">
        <v>69</v>
      </c>
      <c r="N23" t="s">
        <v>152</v>
      </c>
      <c r="O23" t="s">
        <v>69</v>
      </c>
      <c r="P23">
        <v>165.19200000000001</v>
      </c>
      <c r="Q23" t="s">
        <v>69</v>
      </c>
      <c r="R23" t="s">
        <v>69</v>
      </c>
      <c r="S23">
        <v>57</v>
      </c>
      <c r="T23" t="s">
        <v>147</v>
      </c>
      <c r="U23" t="s">
        <v>69</v>
      </c>
      <c r="V23" t="s">
        <v>148</v>
      </c>
      <c r="W23" t="s">
        <v>69</v>
      </c>
      <c r="X23">
        <v>146.14599999999999</v>
      </c>
      <c r="Y23" t="s">
        <v>69</v>
      </c>
      <c r="Z23" t="s">
        <v>69</v>
      </c>
      <c r="AA23">
        <v>71</v>
      </c>
      <c r="AB23" t="s">
        <v>74</v>
      </c>
      <c r="AC23" t="s">
        <v>69</v>
      </c>
      <c r="AD23" t="s">
        <v>75</v>
      </c>
      <c r="AE23" t="s">
        <v>69</v>
      </c>
      <c r="AF23">
        <v>174.203</v>
      </c>
      <c r="AG23" t="s">
        <v>69</v>
      </c>
      <c r="AH23" t="s">
        <v>69</v>
      </c>
      <c r="AI23">
        <v>73</v>
      </c>
      <c r="AJ23" t="s">
        <v>69</v>
      </c>
      <c r="AK23" t="s">
        <v>69</v>
      </c>
      <c r="AL23" t="s">
        <v>152</v>
      </c>
      <c r="AM23" t="s">
        <v>69</v>
      </c>
      <c r="AN23">
        <v>181.191</v>
      </c>
      <c r="AO23" t="s">
        <v>69</v>
      </c>
      <c r="AP23" t="s">
        <v>69</v>
      </c>
      <c r="AQ23">
        <v>156</v>
      </c>
      <c r="AR23" t="s">
        <v>119</v>
      </c>
      <c r="AS23" t="s">
        <v>69</v>
      </c>
      <c r="AT23" t="s">
        <v>120</v>
      </c>
      <c r="AU23" t="s">
        <v>69</v>
      </c>
      <c r="AV23">
        <v>147.131</v>
      </c>
      <c r="AW23" t="s">
        <v>69</v>
      </c>
      <c r="AX23" t="s">
        <v>69</v>
      </c>
      <c r="AY23">
        <v>161</v>
      </c>
      <c r="AZ23" t="s">
        <v>153</v>
      </c>
      <c r="BA23" t="s">
        <v>69</v>
      </c>
      <c r="BB23" t="s">
        <v>148</v>
      </c>
      <c r="BC23" t="s">
        <v>69</v>
      </c>
      <c r="BD23">
        <v>132.119</v>
      </c>
      <c r="BE23" t="s">
        <v>69</v>
      </c>
      <c r="BF23" t="s">
        <v>69</v>
      </c>
      <c r="BG23">
        <v>162</v>
      </c>
      <c r="BH23" t="s">
        <v>76</v>
      </c>
      <c r="BI23" t="s">
        <v>69</v>
      </c>
      <c r="BJ23" t="s">
        <v>75</v>
      </c>
      <c r="BK23" t="s">
        <v>69</v>
      </c>
      <c r="BL23">
        <v>146.18899999999999</v>
      </c>
      <c r="BM23" t="s">
        <v>69</v>
      </c>
      <c r="BN23" t="s">
        <v>69</v>
      </c>
      <c r="BO23">
        <v>163</v>
      </c>
      <c r="BP23" t="s">
        <v>151</v>
      </c>
      <c r="BQ23" t="s">
        <v>69</v>
      </c>
      <c r="BR23" t="s">
        <v>152</v>
      </c>
      <c r="BS23" t="s">
        <v>69</v>
      </c>
      <c r="BT23">
        <v>165.19200000000001</v>
      </c>
      <c r="BU23" t="s">
        <v>69</v>
      </c>
      <c r="BV23" t="s">
        <v>69</v>
      </c>
    </row>
    <row r="24" spans="1:74" x14ac:dyDescent="0.25">
      <c r="A24">
        <v>7</v>
      </c>
      <c r="B24" t="str">
        <f>HYPERLINK("http://www.ncbi.nlm.nih.gov/protein/KAF6446779.1","KAF6446779.1")</f>
        <v>KAF6446779.1</v>
      </c>
      <c r="C24">
        <v>117142</v>
      </c>
      <c r="D24" t="str">
        <f>HYPERLINK("http://www.ncbi.nlm.nih.gov/Taxonomy/Browser/wwwtax.cgi?mode=Info&amp;id=9407&amp;lvl=3&amp;lin=f&amp;keep=1&amp;srchmode=1&amp;unlock","9407")</f>
        <v>9407</v>
      </c>
      <c r="E24" t="s">
        <v>66</v>
      </c>
      <c r="F24" t="str">
        <f>HYPERLINK("http://www.ncbi.nlm.nih.gov/Taxonomy/Browser/wwwtax.cgi?mode=Info&amp;id=9407&amp;lvl=3&amp;lin=f&amp;keep=1&amp;srchmode=1&amp;unlock","Rousettus aegyptiacus")</f>
        <v>Rousettus aegyptiacus</v>
      </c>
      <c r="G24" t="s">
        <v>103</v>
      </c>
      <c r="H24" t="str">
        <f>HYPERLINK("http://www.ncbi.nlm.nih.gov/protein/KAF6446779.1","G3BP stress granule assembly factor 1")</f>
        <v>G3BP stress granule assembly factor 1</v>
      </c>
      <c r="I24" t="s">
        <v>259</v>
      </c>
      <c r="J24" t="s">
        <v>69</v>
      </c>
      <c r="K24">
        <v>53</v>
      </c>
      <c r="L24" t="s">
        <v>151</v>
      </c>
      <c r="M24" t="s">
        <v>69</v>
      </c>
      <c r="N24" t="s">
        <v>152</v>
      </c>
      <c r="O24" t="s">
        <v>69</v>
      </c>
      <c r="P24">
        <v>165.19200000000001</v>
      </c>
      <c r="Q24" t="s">
        <v>69</v>
      </c>
      <c r="R24" t="s">
        <v>69</v>
      </c>
      <c r="S24">
        <v>56</v>
      </c>
      <c r="T24" t="s">
        <v>147</v>
      </c>
      <c r="U24" t="s">
        <v>69</v>
      </c>
      <c r="V24" t="s">
        <v>148</v>
      </c>
      <c r="W24" t="s">
        <v>69</v>
      </c>
      <c r="X24">
        <v>146.14599999999999</v>
      </c>
      <c r="Y24" t="s">
        <v>69</v>
      </c>
      <c r="Z24" t="s">
        <v>69</v>
      </c>
      <c r="AA24">
        <v>70</v>
      </c>
      <c r="AB24" t="s">
        <v>74</v>
      </c>
      <c r="AC24" t="s">
        <v>69</v>
      </c>
      <c r="AD24" t="s">
        <v>75</v>
      </c>
      <c r="AE24" t="s">
        <v>69</v>
      </c>
      <c r="AF24">
        <v>174.203</v>
      </c>
      <c r="AG24" t="s">
        <v>69</v>
      </c>
      <c r="AH24" t="s">
        <v>69</v>
      </c>
      <c r="AI24">
        <v>72</v>
      </c>
      <c r="AJ24" t="s">
        <v>69</v>
      </c>
      <c r="AK24" t="s">
        <v>69</v>
      </c>
      <c r="AL24" t="s">
        <v>152</v>
      </c>
      <c r="AM24" t="s">
        <v>69</v>
      </c>
      <c r="AN24">
        <v>181.191</v>
      </c>
      <c r="AO24" t="s">
        <v>69</v>
      </c>
      <c r="AP24" t="s">
        <v>69</v>
      </c>
      <c r="AQ24">
        <v>155</v>
      </c>
      <c r="AR24" t="s">
        <v>119</v>
      </c>
      <c r="AS24" t="s">
        <v>69</v>
      </c>
      <c r="AT24" t="s">
        <v>120</v>
      </c>
      <c r="AU24" t="s">
        <v>69</v>
      </c>
      <c r="AV24">
        <v>147.131</v>
      </c>
      <c r="AW24" t="s">
        <v>69</v>
      </c>
      <c r="AX24" t="s">
        <v>69</v>
      </c>
      <c r="AY24">
        <v>160</v>
      </c>
      <c r="AZ24" t="s">
        <v>153</v>
      </c>
      <c r="BA24" t="s">
        <v>69</v>
      </c>
      <c r="BB24" t="s">
        <v>148</v>
      </c>
      <c r="BC24" t="s">
        <v>69</v>
      </c>
      <c r="BD24">
        <v>132.119</v>
      </c>
      <c r="BE24" t="s">
        <v>69</v>
      </c>
      <c r="BF24" t="s">
        <v>69</v>
      </c>
      <c r="BG24">
        <v>161</v>
      </c>
      <c r="BH24" t="s">
        <v>76</v>
      </c>
      <c r="BI24" t="s">
        <v>69</v>
      </c>
      <c r="BJ24" t="s">
        <v>75</v>
      </c>
      <c r="BK24" t="s">
        <v>69</v>
      </c>
      <c r="BL24">
        <v>146.18899999999999</v>
      </c>
      <c r="BM24" t="s">
        <v>69</v>
      </c>
      <c r="BN24" t="s">
        <v>69</v>
      </c>
      <c r="BO24">
        <v>162</v>
      </c>
      <c r="BP24" t="s">
        <v>151</v>
      </c>
      <c r="BQ24" t="s">
        <v>69</v>
      </c>
      <c r="BR24" t="s">
        <v>152</v>
      </c>
      <c r="BS24" t="s">
        <v>69</v>
      </c>
      <c r="BT24">
        <v>165.19200000000001</v>
      </c>
      <c r="BU24" t="s">
        <v>69</v>
      </c>
      <c r="BV24" t="s">
        <v>69</v>
      </c>
    </row>
    <row r="25" spans="1:74" x14ac:dyDescent="0.25">
      <c r="A25">
        <v>7</v>
      </c>
      <c r="B25" t="str">
        <f>HYPERLINK("http://www.ncbi.nlm.nih.gov/protein/NP_001192334.1","NP_001192334.1")</f>
        <v>NP_001192334.1</v>
      </c>
      <c r="C25">
        <v>86952</v>
      </c>
      <c r="D25" t="str">
        <f>HYPERLINK("http://www.ncbi.nlm.nih.gov/Taxonomy/Browser/wwwtax.cgi?mode=Info&amp;id=9823&amp;lvl=3&amp;lin=f&amp;keep=1&amp;srchmode=1&amp;unlock","9823")</f>
        <v>9823</v>
      </c>
      <c r="E25" t="s">
        <v>66</v>
      </c>
      <c r="F25" t="str">
        <f>HYPERLINK("http://www.ncbi.nlm.nih.gov/Taxonomy/Browser/wwwtax.cgi?mode=Info&amp;id=9823&amp;lvl=3&amp;lin=f&amp;keep=1&amp;srchmode=1&amp;unlock","Sus scrofa")</f>
        <v>Sus scrofa</v>
      </c>
      <c r="G25" t="s">
        <v>85</v>
      </c>
      <c r="H25" t="str">
        <f>HYPERLINK("http://www.ncbi.nlm.nih.gov/protein/NP_001192334.1","ras GTPase-activating protein-binding protein 1")</f>
        <v>ras GTPase-activating protein-binding protein 1</v>
      </c>
      <c r="I25" t="s">
        <v>259</v>
      </c>
      <c r="J25" t="s">
        <v>69</v>
      </c>
      <c r="K25">
        <v>15</v>
      </c>
      <c r="L25" t="s">
        <v>151</v>
      </c>
      <c r="M25" t="s">
        <v>69</v>
      </c>
      <c r="N25" t="s">
        <v>152</v>
      </c>
      <c r="O25" t="s">
        <v>69</v>
      </c>
      <c r="P25">
        <v>165.19200000000001</v>
      </c>
      <c r="Q25" t="s">
        <v>69</v>
      </c>
      <c r="R25" t="s">
        <v>69</v>
      </c>
      <c r="S25">
        <v>18</v>
      </c>
      <c r="T25" t="s">
        <v>147</v>
      </c>
      <c r="U25" t="s">
        <v>69</v>
      </c>
      <c r="V25" t="s">
        <v>148</v>
      </c>
      <c r="W25" t="s">
        <v>69</v>
      </c>
      <c r="X25">
        <v>146.14599999999999</v>
      </c>
      <c r="Y25" t="s">
        <v>69</v>
      </c>
      <c r="Z25" t="s">
        <v>69</v>
      </c>
      <c r="AA25">
        <v>32</v>
      </c>
      <c r="AB25" t="s">
        <v>74</v>
      </c>
      <c r="AC25" t="s">
        <v>69</v>
      </c>
      <c r="AD25" t="s">
        <v>75</v>
      </c>
      <c r="AE25" t="s">
        <v>69</v>
      </c>
      <c r="AF25">
        <v>174.203</v>
      </c>
      <c r="AG25" t="s">
        <v>69</v>
      </c>
      <c r="AH25" t="s">
        <v>69</v>
      </c>
      <c r="AI25">
        <v>34</v>
      </c>
      <c r="AJ25" t="s">
        <v>69</v>
      </c>
      <c r="AK25" t="s">
        <v>69</v>
      </c>
      <c r="AL25" t="s">
        <v>152</v>
      </c>
      <c r="AM25" t="s">
        <v>69</v>
      </c>
      <c r="AN25">
        <v>181.191</v>
      </c>
      <c r="AO25" t="s">
        <v>69</v>
      </c>
      <c r="AP25" t="s">
        <v>69</v>
      </c>
      <c r="AQ25">
        <v>117</v>
      </c>
      <c r="AR25" t="s">
        <v>119</v>
      </c>
      <c r="AS25" t="s">
        <v>69</v>
      </c>
      <c r="AT25" t="s">
        <v>120</v>
      </c>
      <c r="AU25" t="s">
        <v>69</v>
      </c>
      <c r="AV25">
        <v>147.131</v>
      </c>
      <c r="AW25" t="s">
        <v>69</v>
      </c>
      <c r="AX25" t="s">
        <v>69</v>
      </c>
      <c r="AY25">
        <v>122</v>
      </c>
      <c r="AZ25" t="s">
        <v>153</v>
      </c>
      <c r="BA25" t="s">
        <v>69</v>
      </c>
      <c r="BB25" t="s">
        <v>148</v>
      </c>
      <c r="BC25" t="s">
        <v>69</v>
      </c>
      <c r="BD25">
        <v>132.119</v>
      </c>
      <c r="BE25" t="s">
        <v>69</v>
      </c>
      <c r="BF25" t="s">
        <v>69</v>
      </c>
      <c r="BG25">
        <v>123</v>
      </c>
      <c r="BH25" t="s">
        <v>76</v>
      </c>
      <c r="BI25" t="s">
        <v>69</v>
      </c>
      <c r="BJ25" t="s">
        <v>75</v>
      </c>
      <c r="BK25" t="s">
        <v>69</v>
      </c>
      <c r="BL25">
        <v>146.18899999999999</v>
      </c>
      <c r="BM25" t="s">
        <v>69</v>
      </c>
      <c r="BN25" t="s">
        <v>69</v>
      </c>
      <c r="BO25">
        <v>124</v>
      </c>
      <c r="BP25" t="s">
        <v>151</v>
      </c>
      <c r="BQ25" t="s">
        <v>69</v>
      </c>
      <c r="BR25" t="s">
        <v>152</v>
      </c>
      <c r="BS25" t="s">
        <v>69</v>
      </c>
      <c r="BT25">
        <v>165.19200000000001</v>
      </c>
      <c r="BU25" t="s">
        <v>69</v>
      </c>
      <c r="BV25" t="s">
        <v>69</v>
      </c>
    </row>
    <row r="26" spans="1:74" x14ac:dyDescent="0.25">
      <c r="A26">
        <v>7</v>
      </c>
      <c r="B26" t="str">
        <f>HYPERLINK("http://www.ncbi.nlm.nih.gov/protein/XP_020736580.1","XP_020736580.1")</f>
        <v>XP_020736580.1</v>
      </c>
      <c r="C26">
        <v>48218</v>
      </c>
      <c r="D26" t="str">
        <f>HYPERLINK("http://www.ncbi.nlm.nih.gov/Taxonomy/Browser/wwwtax.cgi?mode=Info&amp;id=9880&amp;lvl=3&amp;lin=f&amp;keep=1&amp;srchmode=1&amp;unlock","9880")</f>
        <v>9880</v>
      </c>
      <c r="E26" t="s">
        <v>66</v>
      </c>
      <c r="F26" t="str">
        <f>HYPERLINK("http://www.ncbi.nlm.nih.gov/Taxonomy/Browser/wwwtax.cgi?mode=Info&amp;id=9880&amp;lvl=3&amp;lin=f&amp;keep=1&amp;srchmode=1&amp;unlock","Odocoileus virginianus texanus")</f>
        <v>Odocoileus virginianus texanus</v>
      </c>
      <c r="G26" t="s">
        <v>81</v>
      </c>
      <c r="H26" t="str">
        <f>HYPERLINK("http://www.ncbi.nlm.nih.gov/protein/XP_020736580.1","ras GTPase-activating protein-binding protein 1 isoform X1")</f>
        <v>ras GTPase-activating protein-binding protein 1 isoform X1</v>
      </c>
      <c r="I26" t="s">
        <v>259</v>
      </c>
      <c r="J26" t="s">
        <v>69</v>
      </c>
      <c r="K26">
        <v>54</v>
      </c>
      <c r="L26" t="s">
        <v>151</v>
      </c>
      <c r="M26" t="s">
        <v>69</v>
      </c>
      <c r="N26" t="s">
        <v>152</v>
      </c>
      <c r="O26" t="s">
        <v>69</v>
      </c>
      <c r="P26">
        <v>165.19200000000001</v>
      </c>
      <c r="Q26" t="s">
        <v>69</v>
      </c>
      <c r="R26" t="s">
        <v>69</v>
      </c>
      <c r="S26">
        <v>57</v>
      </c>
      <c r="T26" t="s">
        <v>147</v>
      </c>
      <c r="U26" t="s">
        <v>69</v>
      </c>
      <c r="V26" t="s">
        <v>148</v>
      </c>
      <c r="W26" t="s">
        <v>69</v>
      </c>
      <c r="X26">
        <v>146.14599999999999</v>
      </c>
      <c r="Y26" t="s">
        <v>69</v>
      </c>
      <c r="Z26" t="s">
        <v>69</v>
      </c>
      <c r="AA26">
        <v>71</v>
      </c>
      <c r="AB26" t="s">
        <v>74</v>
      </c>
      <c r="AC26" t="s">
        <v>69</v>
      </c>
      <c r="AD26" t="s">
        <v>75</v>
      </c>
      <c r="AE26" t="s">
        <v>69</v>
      </c>
      <c r="AF26">
        <v>174.203</v>
      </c>
      <c r="AG26" t="s">
        <v>69</v>
      </c>
      <c r="AH26" t="s">
        <v>69</v>
      </c>
      <c r="AI26">
        <v>73</v>
      </c>
      <c r="AJ26" t="s">
        <v>69</v>
      </c>
      <c r="AK26" t="s">
        <v>69</v>
      </c>
      <c r="AL26" t="s">
        <v>152</v>
      </c>
      <c r="AM26" t="s">
        <v>69</v>
      </c>
      <c r="AN26">
        <v>181.191</v>
      </c>
      <c r="AO26" t="s">
        <v>69</v>
      </c>
      <c r="AP26" t="s">
        <v>69</v>
      </c>
      <c r="AQ26">
        <v>156</v>
      </c>
      <c r="AR26" t="s">
        <v>119</v>
      </c>
      <c r="AS26" t="s">
        <v>69</v>
      </c>
      <c r="AT26" t="s">
        <v>120</v>
      </c>
      <c r="AU26" t="s">
        <v>69</v>
      </c>
      <c r="AV26">
        <v>147.131</v>
      </c>
      <c r="AW26" t="s">
        <v>69</v>
      </c>
      <c r="AX26" t="s">
        <v>69</v>
      </c>
      <c r="AY26">
        <v>161</v>
      </c>
      <c r="AZ26" t="s">
        <v>153</v>
      </c>
      <c r="BA26" t="s">
        <v>69</v>
      </c>
      <c r="BB26" t="s">
        <v>148</v>
      </c>
      <c r="BC26" t="s">
        <v>69</v>
      </c>
      <c r="BD26">
        <v>132.119</v>
      </c>
      <c r="BE26" t="s">
        <v>69</v>
      </c>
      <c r="BF26" t="s">
        <v>69</v>
      </c>
      <c r="BG26">
        <v>162</v>
      </c>
      <c r="BH26" t="s">
        <v>76</v>
      </c>
      <c r="BI26" t="s">
        <v>69</v>
      </c>
      <c r="BJ26" t="s">
        <v>75</v>
      </c>
      <c r="BK26" t="s">
        <v>69</v>
      </c>
      <c r="BL26">
        <v>146.18899999999999</v>
      </c>
      <c r="BM26" t="s">
        <v>69</v>
      </c>
      <c r="BN26" t="s">
        <v>69</v>
      </c>
      <c r="BO26">
        <v>163</v>
      </c>
      <c r="BP26" t="s">
        <v>151</v>
      </c>
      <c r="BQ26" t="s">
        <v>69</v>
      </c>
      <c r="BR26" t="s">
        <v>152</v>
      </c>
      <c r="BS26" t="s">
        <v>69</v>
      </c>
      <c r="BT26">
        <v>165.19200000000001</v>
      </c>
      <c r="BU26" t="s">
        <v>69</v>
      </c>
      <c r="BV26" t="s">
        <v>69</v>
      </c>
    </row>
    <row r="27" spans="1:74" x14ac:dyDescent="0.25">
      <c r="A27">
        <v>7</v>
      </c>
      <c r="B27" t="str">
        <f>HYPERLINK("http://www.ncbi.nlm.nih.gov/protein/XP_036871715.1","XP_036871715.1")</f>
        <v>XP_036871715.1</v>
      </c>
      <c r="C27">
        <v>56064</v>
      </c>
      <c r="D27" t="str">
        <f>HYPERLINK("http://www.ncbi.nlm.nih.gov/Taxonomy/Browser/wwwtax.cgi?mode=Info&amp;id=9974&amp;lvl=3&amp;lin=f&amp;keep=1&amp;srchmode=1&amp;unlock","9974")</f>
        <v>9974</v>
      </c>
      <c r="E27" t="s">
        <v>66</v>
      </c>
      <c r="F27" t="str">
        <f>HYPERLINK("http://www.ncbi.nlm.nih.gov/Taxonomy/Browser/wwwtax.cgi?mode=Info&amp;id=9974&amp;lvl=3&amp;lin=f&amp;keep=1&amp;srchmode=1&amp;unlock","Manis javanica")</f>
        <v>Manis javanica</v>
      </c>
      <c r="G27" t="s">
        <v>100</v>
      </c>
      <c r="H27" t="str">
        <f>HYPERLINK("http://www.ncbi.nlm.nih.gov/protein/XP_036871715.1","ras GTPase-activating protein-binding protein 1 isoform X4")</f>
        <v>ras GTPase-activating protein-binding protein 1 isoform X4</v>
      </c>
      <c r="I27" t="s">
        <v>259</v>
      </c>
      <c r="J27" t="s">
        <v>69</v>
      </c>
      <c r="K27">
        <v>28</v>
      </c>
      <c r="L27" t="s">
        <v>151</v>
      </c>
      <c r="M27" t="s">
        <v>69</v>
      </c>
      <c r="N27" t="s">
        <v>152</v>
      </c>
      <c r="O27" t="s">
        <v>69</v>
      </c>
      <c r="P27">
        <v>165.19200000000001</v>
      </c>
      <c r="Q27" t="s">
        <v>69</v>
      </c>
      <c r="R27" t="s">
        <v>69</v>
      </c>
      <c r="S27">
        <v>31</v>
      </c>
      <c r="T27" t="s">
        <v>147</v>
      </c>
      <c r="U27" t="s">
        <v>69</v>
      </c>
      <c r="V27" t="s">
        <v>148</v>
      </c>
      <c r="W27" t="s">
        <v>69</v>
      </c>
      <c r="X27">
        <v>146.14599999999999</v>
      </c>
      <c r="Y27" t="s">
        <v>69</v>
      </c>
      <c r="Z27" t="s">
        <v>69</v>
      </c>
      <c r="AA27">
        <v>45</v>
      </c>
      <c r="AB27" t="s">
        <v>74</v>
      </c>
      <c r="AC27" t="s">
        <v>69</v>
      </c>
      <c r="AD27" t="s">
        <v>75</v>
      </c>
      <c r="AE27" t="s">
        <v>69</v>
      </c>
      <c r="AF27">
        <v>174.203</v>
      </c>
      <c r="AG27" t="s">
        <v>69</v>
      </c>
      <c r="AH27" t="s">
        <v>69</v>
      </c>
      <c r="AI27">
        <v>47</v>
      </c>
      <c r="AJ27" t="s">
        <v>69</v>
      </c>
      <c r="AK27" t="s">
        <v>69</v>
      </c>
      <c r="AL27" t="s">
        <v>152</v>
      </c>
      <c r="AM27" t="s">
        <v>69</v>
      </c>
      <c r="AN27">
        <v>181.191</v>
      </c>
      <c r="AO27" t="s">
        <v>69</v>
      </c>
      <c r="AP27" t="s">
        <v>69</v>
      </c>
      <c r="AQ27">
        <v>130</v>
      </c>
      <c r="AR27" t="s">
        <v>119</v>
      </c>
      <c r="AS27" t="s">
        <v>69</v>
      </c>
      <c r="AT27" t="s">
        <v>120</v>
      </c>
      <c r="AU27" t="s">
        <v>69</v>
      </c>
      <c r="AV27">
        <v>147.131</v>
      </c>
      <c r="AW27" t="s">
        <v>69</v>
      </c>
      <c r="AX27" t="s">
        <v>69</v>
      </c>
      <c r="AY27">
        <v>135</v>
      </c>
      <c r="AZ27" t="s">
        <v>153</v>
      </c>
      <c r="BA27" t="s">
        <v>69</v>
      </c>
      <c r="BB27" t="s">
        <v>148</v>
      </c>
      <c r="BC27" t="s">
        <v>69</v>
      </c>
      <c r="BD27">
        <v>132.119</v>
      </c>
      <c r="BE27" t="s">
        <v>69</v>
      </c>
      <c r="BF27" t="s">
        <v>69</v>
      </c>
      <c r="BG27">
        <v>136</v>
      </c>
      <c r="BH27" t="s">
        <v>76</v>
      </c>
      <c r="BI27" t="s">
        <v>69</v>
      </c>
      <c r="BJ27" t="s">
        <v>75</v>
      </c>
      <c r="BK27" t="s">
        <v>69</v>
      </c>
      <c r="BL27">
        <v>146.18899999999999</v>
      </c>
      <c r="BM27" t="s">
        <v>69</v>
      </c>
      <c r="BN27" t="s">
        <v>69</v>
      </c>
      <c r="BO27">
        <v>137</v>
      </c>
      <c r="BP27" t="s">
        <v>151</v>
      </c>
      <c r="BQ27" t="s">
        <v>69</v>
      </c>
      <c r="BR27" t="s">
        <v>152</v>
      </c>
      <c r="BS27" t="s">
        <v>69</v>
      </c>
      <c r="BT27">
        <v>165.19200000000001</v>
      </c>
      <c r="BU27" t="s">
        <v>69</v>
      </c>
      <c r="BV27" t="s">
        <v>69</v>
      </c>
    </row>
    <row r="28" spans="1:74" x14ac:dyDescent="0.25">
      <c r="A28">
        <v>7</v>
      </c>
      <c r="B28" t="str">
        <f>HYPERLINK("http://www.ncbi.nlm.nih.gov/protein/XP_006984945.1","XP_006984945.1")</f>
        <v>XP_006984945.1</v>
      </c>
      <c r="C28">
        <v>54287</v>
      </c>
      <c r="D28" t="str">
        <f>HYPERLINK("http://www.ncbi.nlm.nih.gov/Taxonomy/Browser/wwwtax.cgi?mode=Info&amp;id=230844&amp;lvl=3&amp;lin=f&amp;keep=1&amp;srchmode=1&amp;unlock","230844")</f>
        <v>230844</v>
      </c>
      <c r="E28" t="s">
        <v>66</v>
      </c>
      <c r="F28" t="str">
        <f>HYPERLINK("http://www.ncbi.nlm.nih.gov/Taxonomy/Browser/wwwtax.cgi?mode=Info&amp;id=230844&amp;lvl=3&amp;lin=f&amp;keep=1&amp;srchmode=1&amp;unlock","Peromyscus maniculatus bairdii")</f>
        <v>Peromyscus maniculatus bairdii</v>
      </c>
      <c r="G28" t="s">
        <v>88</v>
      </c>
      <c r="H28" t="str">
        <f>HYPERLINK("http://www.ncbi.nlm.nih.gov/protein/XP_006984945.1","ras GTPase-activating protein-binding protein 1")</f>
        <v>ras GTPase-activating protein-binding protein 1</v>
      </c>
      <c r="I28" t="s">
        <v>259</v>
      </c>
      <c r="J28" t="s">
        <v>69</v>
      </c>
      <c r="K28">
        <v>15</v>
      </c>
      <c r="L28" t="s">
        <v>151</v>
      </c>
      <c r="M28" t="s">
        <v>69</v>
      </c>
      <c r="N28" t="s">
        <v>152</v>
      </c>
      <c r="O28" t="s">
        <v>69</v>
      </c>
      <c r="P28">
        <v>165.19200000000001</v>
      </c>
      <c r="Q28" t="s">
        <v>69</v>
      </c>
      <c r="R28" t="s">
        <v>69</v>
      </c>
      <c r="S28">
        <v>18</v>
      </c>
      <c r="T28" t="s">
        <v>147</v>
      </c>
      <c r="U28" t="s">
        <v>69</v>
      </c>
      <c r="V28" t="s">
        <v>148</v>
      </c>
      <c r="W28" t="s">
        <v>69</v>
      </c>
      <c r="X28">
        <v>146.14599999999999</v>
      </c>
      <c r="Y28" t="s">
        <v>69</v>
      </c>
      <c r="Z28" t="s">
        <v>69</v>
      </c>
      <c r="AA28">
        <v>32</v>
      </c>
      <c r="AB28" t="s">
        <v>74</v>
      </c>
      <c r="AC28" t="s">
        <v>69</v>
      </c>
      <c r="AD28" t="s">
        <v>75</v>
      </c>
      <c r="AE28" t="s">
        <v>69</v>
      </c>
      <c r="AF28">
        <v>174.203</v>
      </c>
      <c r="AG28" t="s">
        <v>69</v>
      </c>
      <c r="AH28" t="s">
        <v>69</v>
      </c>
      <c r="AI28">
        <v>34</v>
      </c>
      <c r="AJ28" t="s">
        <v>69</v>
      </c>
      <c r="AK28" t="s">
        <v>69</v>
      </c>
      <c r="AL28" t="s">
        <v>152</v>
      </c>
      <c r="AM28" t="s">
        <v>69</v>
      </c>
      <c r="AN28">
        <v>181.191</v>
      </c>
      <c r="AO28" t="s">
        <v>69</v>
      </c>
      <c r="AP28" t="s">
        <v>69</v>
      </c>
      <c r="AQ28">
        <v>117</v>
      </c>
      <c r="AR28" t="s">
        <v>119</v>
      </c>
      <c r="AS28" t="s">
        <v>69</v>
      </c>
      <c r="AT28" t="s">
        <v>120</v>
      </c>
      <c r="AU28" t="s">
        <v>69</v>
      </c>
      <c r="AV28">
        <v>147.131</v>
      </c>
      <c r="AW28" t="s">
        <v>69</v>
      </c>
      <c r="AX28" t="s">
        <v>69</v>
      </c>
      <c r="AY28">
        <v>122</v>
      </c>
      <c r="AZ28" t="s">
        <v>153</v>
      </c>
      <c r="BA28" t="s">
        <v>69</v>
      </c>
      <c r="BB28" t="s">
        <v>148</v>
      </c>
      <c r="BC28" t="s">
        <v>69</v>
      </c>
      <c r="BD28">
        <v>132.119</v>
      </c>
      <c r="BE28" t="s">
        <v>69</v>
      </c>
      <c r="BF28" t="s">
        <v>69</v>
      </c>
      <c r="BG28">
        <v>123</v>
      </c>
      <c r="BH28" t="s">
        <v>76</v>
      </c>
      <c r="BI28" t="s">
        <v>69</v>
      </c>
      <c r="BJ28" t="s">
        <v>75</v>
      </c>
      <c r="BK28" t="s">
        <v>69</v>
      </c>
      <c r="BL28">
        <v>146.18899999999999</v>
      </c>
      <c r="BM28" t="s">
        <v>69</v>
      </c>
      <c r="BN28" t="s">
        <v>69</v>
      </c>
      <c r="BO28">
        <v>124</v>
      </c>
      <c r="BP28" t="s">
        <v>151</v>
      </c>
      <c r="BQ28" t="s">
        <v>69</v>
      </c>
      <c r="BR28" t="s">
        <v>152</v>
      </c>
      <c r="BS28" t="s">
        <v>69</v>
      </c>
      <c r="BT28">
        <v>165.19200000000001</v>
      </c>
      <c r="BU28" t="s">
        <v>69</v>
      </c>
      <c r="BV28" t="s">
        <v>69</v>
      </c>
    </row>
    <row r="29" spans="1:74" x14ac:dyDescent="0.25">
      <c r="A29">
        <v>7</v>
      </c>
      <c r="B29" t="str">
        <f>HYPERLINK("http://www.ncbi.nlm.nih.gov/protein/XP_005067802.1","XP_005067802.1")</f>
        <v>XP_005067802.1</v>
      </c>
      <c r="C29">
        <v>54410</v>
      </c>
      <c r="D29" t="str">
        <f>HYPERLINK("http://www.ncbi.nlm.nih.gov/Taxonomy/Browser/wwwtax.cgi?mode=Info&amp;id=10036&amp;lvl=3&amp;lin=f&amp;keep=1&amp;srchmode=1&amp;unlock","10036")</f>
        <v>10036</v>
      </c>
      <c r="E29" t="s">
        <v>66</v>
      </c>
      <c r="F29" t="str">
        <f>HYPERLINK("http://www.ncbi.nlm.nih.gov/Taxonomy/Browser/wwwtax.cgi?mode=Info&amp;id=10036&amp;lvl=3&amp;lin=f&amp;keep=1&amp;srchmode=1&amp;unlock","Mesocricetus auratus")</f>
        <v>Mesocricetus auratus</v>
      </c>
      <c r="G29" t="s">
        <v>87</v>
      </c>
      <c r="H29" t="str">
        <f>HYPERLINK("http://www.ncbi.nlm.nih.gov/protein/XP_005067802.1","ras GTPase-activating protein-binding protein 1")</f>
        <v>ras GTPase-activating protein-binding protein 1</v>
      </c>
      <c r="I29" t="s">
        <v>259</v>
      </c>
      <c r="J29" t="s">
        <v>69</v>
      </c>
      <c r="K29">
        <v>15</v>
      </c>
      <c r="L29" t="s">
        <v>151</v>
      </c>
      <c r="M29" t="s">
        <v>69</v>
      </c>
      <c r="N29" t="s">
        <v>152</v>
      </c>
      <c r="O29" t="s">
        <v>69</v>
      </c>
      <c r="P29">
        <v>165.19200000000001</v>
      </c>
      <c r="Q29" t="s">
        <v>69</v>
      </c>
      <c r="R29" t="s">
        <v>69</v>
      </c>
      <c r="S29">
        <v>18</v>
      </c>
      <c r="T29" t="s">
        <v>147</v>
      </c>
      <c r="U29" t="s">
        <v>69</v>
      </c>
      <c r="V29" t="s">
        <v>148</v>
      </c>
      <c r="W29" t="s">
        <v>69</v>
      </c>
      <c r="X29">
        <v>146.14599999999999</v>
      </c>
      <c r="Y29" t="s">
        <v>69</v>
      </c>
      <c r="Z29" t="s">
        <v>69</v>
      </c>
      <c r="AA29">
        <v>32</v>
      </c>
      <c r="AB29" t="s">
        <v>74</v>
      </c>
      <c r="AC29" t="s">
        <v>69</v>
      </c>
      <c r="AD29" t="s">
        <v>75</v>
      </c>
      <c r="AE29" t="s">
        <v>69</v>
      </c>
      <c r="AF29">
        <v>174.203</v>
      </c>
      <c r="AG29" t="s">
        <v>69</v>
      </c>
      <c r="AH29" t="s">
        <v>69</v>
      </c>
      <c r="AI29">
        <v>34</v>
      </c>
      <c r="AJ29" t="s">
        <v>69</v>
      </c>
      <c r="AK29" t="s">
        <v>69</v>
      </c>
      <c r="AL29" t="s">
        <v>152</v>
      </c>
      <c r="AM29" t="s">
        <v>69</v>
      </c>
      <c r="AN29">
        <v>181.191</v>
      </c>
      <c r="AO29" t="s">
        <v>69</v>
      </c>
      <c r="AP29" t="s">
        <v>69</v>
      </c>
      <c r="AQ29">
        <v>117</v>
      </c>
      <c r="AR29" t="s">
        <v>119</v>
      </c>
      <c r="AS29" t="s">
        <v>69</v>
      </c>
      <c r="AT29" t="s">
        <v>120</v>
      </c>
      <c r="AU29" t="s">
        <v>69</v>
      </c>
      <c r="AV29">
        <v>147.131</v>
      </c>
      <c r="AW29" t="s">
        <v>69</v>
      </c>
      <c r="AX29" t="s">
        <v>69</v>
      </c>
      <c r="AY29">
        <v>122</v>
      </c>
      <c r="AZ29" t="s">
        <v>153</v>
      </c>
      <c r="BA29" t="s">
        <v>69</v>
      </c>
      <c r="BB29" t="s">
        <v>148</v>
      </c>
      <c r="BC29" t="s">
        <v>69</v>
      </c>
      <c r="BD29">
        <v>132.119</v>
      </c>
      <c r="BE29" t="s">
        <v>69</v>
      </c>
      <c r="BF29" t="s">
        <v>69</v>
      </c>
      <c r="BG29">
        <v>123</v>
      </c>
      <c r="BH29" t="s">
        <v>76</v>
      </c>
      <c r="BI29" t="s">
        <v>69</v>
      </c>
      <c r="BJ29" t="s">
        <v>75</v>
      </c>
      <c r="BK29" t="s">
        <v>69</v>
      </c>
      <c r="BL29">
        <v>146.18899999999999</v>
      </c>
      <c r="BM29" t="s">
        <v>69</v>
      </c>
      <c r="BN29" t="s">
        <v>69</v>
      </c>
      <c r="BO29">
        <v>124</v>
      </c>
      <c r="BP29" t="s">
        <v>151</v>
      </c>
      <c r="BQ29" t="s">
        <v>69</v>
      </c>
      <c r="BR29" t="s">
        <v>152</v>
      </c>
      <c r="BS29" t="s">
        <v>69</v>
      </c>
      <c r="BT29">
        <v>165.19200000000001</v>
      </c>
      <c r="BU29" t="s">
        <v>69</v>
      </c>
      <c r="BV29" t="s">
        <v>69</v>
      </c>
    </row>
    <row r="30" spans="1:74" x14ac:dyDescent="0.25">
      <c r="A30">
        <v>7</v>
      </c>
      <c r="B30" t="str">
        <f>HYPERLINK("http://www.ncbi.nlm.nih.gov/protein/NP_598249.1","NP_598249.1")</f>
        <v>NP_598249.1</v>
      </c>
      <c r="C30">
        <v>158159</v>
      </c>
      <c r="D30" t="str">
        <f>HYPERLINK("http://www.ncbi.nlm.nih.gov/Taxonomy/Browser/wwwtax.cgi?mode=Info&amp;id=10116&amp;lvl=3&amp;lin=f&amp;keep=1&amp;srchmode=1&amp;unlock","10116")</f>
        <v>10116</v>
      </c>
      <c r="E30" t="s">
        <v>66</v>
      </c>
      <c r="F30" t="str">
        <f>HYPERLINK("http://www.ncbi.nlm.nih.gov/Taxonomy/Browser/wwwtax.cgi?mode=Info&amp;id=10116&amp;lvl=3&amp;lin=f&amp;keep=1&amp;srchmode=1&amp;unlock","Rattus norvegicus")</f>
        <v>Rattus norvegicus</v>
      </c>
      <c r="G30" t="s">
        <v>102</v>
      </c>
      <c r="H30" t="str">
        <f>HYPERLINK("http://www.ncbi.nlm.nih.gov/protein/NP_598249.1","ras GTPase-activating protein-binding protein 1")</f>
        <v>ras GTPase-activating protein-binding protein 1</v>
      </c>
      <c r="I30" t="s">
        <v>259</v>
      </c>
      <c r="J30" t="s">
        <v>69</v>
      </c>
      <c r="K30">
        <v>15</v>
      </c>
      <c r="L30" t="s">
        <v>151</v>
      </c>
      <c r="M30" t="s">
        <v>69</v>
      </c>
      <c r="N30" t="s">
        <v>152</v>
      </c>
      <c r="O30" t="s">
        <v>69</v>
      </c>
      <c r="P30">
        <v>165.19200000000001</v>
      </c>
      <c r="Q30" t="s">
        <v>69</v>
      </c>
      <c r="R30" t="s">
        <v>69</v>
      </c>
      <c r="S30">
        <v>18</v>
      </c>
      <c r="T30" t="s">
        <v>147</v>
      </c>
      <c r="U30" t="s">
        <v>69</v>
      </c>
      <c r="V30" t="s">
        <v>148</v>
      </c>
      <c r="W30" t="s">
        <v>69</v>
      </c>
      <c r="X30">
        <v>146.14599999999999</v>
      </c>
      <c r="Y30" t="s">
        <v>69</v>
      </c>
      <c r="Z30" t="s">
        <v>69</v>
      </c>
      <c r="AA30">
        <v>32</v>
      </c>
      <c r="AB30" t="s">
        <v>74</v>
      </c>
      <c r="AC30" t="s">
        <v>69</v>
      </c>
      <c r="AD30" t="s">
        <v>75</v>
      </c>
      <c r="AE30" t="s">
        <v>69</v>
      </c>
      <c r="AF30">
        <v>174.203</v>
      </c>
      <c r="AG30" t="s">
        <v>69</v>
      </c>
      <c r="AH30" t="s">
        <v>69</v>
      </c>
      <c r="AI30">
        <v>34</v>
      </c>
      <c r="AJ30" t="s">
        <v>69</v>
      </c>
      <c r="AK30" t="s">
        <v>69</v>
      </c>
      <c r="AL30" t="s">
        <v>152</v>
      </c>
      <c r="AM30" t="s">
        <v>69</v>
      </c>
      <c r="AN30">
        <v>181.191</v>
      </c>
      <c r="AO30" t="s">
        <v>69</v>
      </c>
      <c r="AP30" t="s">
        <v>69</v>
      </c>
      <c r="AQ30">
        <v>117</v>
      </c>
      <c r="AR30" t="s">
        <v>119</v>
      </c>
      <c r="AS30" t="s">
        <v>69</v>
      </c>
      <c r="AT30" t="s">
        <v>120</v>
      </c>
      <c r="AU30" t="s">
        <v>69</v>
      </c>
      <c r="AV30">
        <v>147.131</v>
      </c>
      <c r="AW30" t="s">
        <v>69</v>
      </c>
      <c r="AX30" t="s">
        <v>69</v>
      </c>
      <c r="AY30">
        <v>122</v>
      </c>
      <c r="AZ30" t="s">
        <v>153</v>
      </c>
      <c r="BA30" t="s">
        <v>69</v>
      </c>
      <c r="BB30" t="s">
        <v>148</v>
      </c>
      <c r="BC30" t="s">
        <v>69</v>
      </c>
      <c r="BD30">
        <v>132.119</v>
      </c>
      <c r="BE30" t="s">
        <v>69</v>
      </c>
      <c r="BF30" t="s">
        <v>69</v>
      </c>
      <c r="BG30">
        <v>123</v>
      </c>
      <c r="BH30" t="s">
        <v>76</v>
      </c>
      <c r="BI30" t="s">
        <v>69</v>
      </c>
      <c r="BJ30" t="s">
        <v>75</v>
      </c>
      <c r="BK30" t="s">
        <v>69</v>
      </c>
      <c r="BL30">
        <v>146.18899999999999</v>
      </c>
      <c r="BM30" t="s">
        <v>69</v>
      </c>
      <c r="BN30" t="s">
        <v>69</v>
      </c>
      <c r="BO30">
        <v>124</v>
      </c>
      <c r="BP30" t="s">
        <v>151</v>
      </c>
      <c r="BQ30" t="s">
        <v>69</v>
      </c>
      <c r="BR30" t="s">
        <v>152</v>
      </c>
      <c r="BS30" t="s">
        <v>69</v>
      </c>
      <c r="BT30">
        <v>165.19200000000001</v>
      </c>
      <c r="BU30" t="s">
        <v>69</v>
      </c>
      <c r="BV30" t="s">
        <v>69</v>
      </c>
    </row>
    <row r="31" spans="1:74" x14ac:dyDescent="0.25">
      <c r="A31">
        <v>7</v>
      </c>
      <c r="B31" t="str">
        <f>HYPERLINK("http://www.ncbi.nlm.nih.gov/protein/XP_025056762.1","XP_025056762.1")</f>
        <v>XP_025056762.1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HYPERLINK("http://www.ncbi.nlm.nih.gov/protein/XP_025056762.1","ras GTPase-activating protein-binding protein 1 isoform X1")</f>
        <v>ras GTPase-activating protein-binding protein 1 isoform X1</v>
      </c>
      <c r="I31" t="s">
        <v>259</v>
      </c>
      <c r="J31" t="s">
        <v>69</v>
      </c>
      <c r="K31">
        <v>15</v>
      </c>
      <c r="L31" t="s">
        <v>151</v>
      </c>
      <c r="M31" t="s">
        <v>69</v>
      </c>
      <c r="N31" t="s">
        <v>152</v>
      </c>
      <c r="O31" t="s">
        <v>69</v>
      </c>
      <c r="P31">
        <v>165.19200000000001</v>
      </c>
      <c r="Q31" t="s">
        <v>69</v>
      </c>
      <c r="R31" t="s">
        <v>69</v>
      </c>
      <c r="S31">
        <v>18</v>
      </c>
      <c r="T31" t="s">
        <v>147</v>
      </c>
      <c r="U31" t="s">
        <v>69</v>
      </c>
      <c r="V31" t="s">
        <v>148</v>
      </c>
      <c r="W31" t="s">
        <v>69</v>
      </c>
      <c r="X31">
        <v>146.14599999999999</v>
      </c>
      <c r="Y31" t="s">
        <v>69</v>
      </c>
      <c r="Z31" t="s">
        <v>69</v>
      </c>
      <c r="AA31">
        <v>32</v>
      </c>
      <c r="AB31" t="s">
        <v>74</v>
      </c>
      <c r="AC31" t="s">
        <v>69</v>
      </c>
      <c r="AD31" t="s">
        <v>75</v>
      </c>
      <c r="AE31" t="s">
        <v>69</v>
      </c>
      <c r="AF31">
        <v>174.203</v>
      </c>
      <c r="AG31" t="s">
        <v>69</v>
      </c>
      <c r="AH31" t="s">
        <v>69</v>
      </c>
      <c r="AI31">
        <v>34</v>
      </c>
      <c r="AJ31" t="s">
        <v>69</v>
      </c>
      <c r="AK31" t="s">
        <v>69</v>
      </c>
      <c r="AL31" t="s">
        <v>152</v>
      </c>
      <c r="AM31" t="s">
        <v>69</v>
      </c>
      <c r="AN31">
        <v>181.191</v>
      </c>
      <c r="AO31" t="s">
        <v>69</v>
      </c>
      <c r="AP31" t="s">
        <v>69</v>
      </c>
      <c r="AQ31">
        <v>117</v>
      </c>
      <c r="AR31" t="s">
        <v>119</v>
      </c>
      <c r="AS31" t="s">
        <v>69</v>
      </c>
      <c r="AT31" t="s">
        <v>120</v>
      </c>
      <c r="AU31" t="s">
        <v>69</v>
      </c>
      <c r="AV31">
        <v>147.131</v>
      </c>
      <c r="AW31" t="s">
        <v>69</v>
      </c>
      <c r="AX31" t="s">
        <v>69</v>
      </c>
      <c r="AY31">
        <v>122</v>
      </c>
      <c r="AZ31" t="s">
        <v>153</v>
      </c>
      <c r="BA31" t="s">
        <v>69</v>
      </c>
      <c r="BB31" t="s">
        <v>148</v>
      </c>
      <c r="BC31" t="s">
        <v>69</v>
      </c>
      <c r="BD31">
        <v>132.119</v>
      </c>
      <c r="BE31" t="s">
        <v>69</v>
      </c>
      <c r="BF31" t="s">
        <v>69</v>
      </c>
      <c r="BG31">
        <v>123</v>
      </c>
      <c r="BH31" t="s">
        <v>76</v>
      </c>
      <c r="BI31" t="s">
        <v>69</v>
      </c>
      <c r="BJ31" t="s">
        <v>75</v>
      </c>
      <c r="BK31" t="s">
        <v>69</v>
      </c>
      <c r="BL31">
        <v>146.18899999999999</v>
      </c>
      <c r="BM31" t="s">
        <v>69</v>
      </c>
      <c r="BN31" t="s">
        <v>69</v>
      </c>
      <c r="BO31">
        <v>124</v>
      </c>
      <c r="BP31" t="s">
        <v>151</v>
      </c>
      <c r="BQ31" t="s">
        <v>69</v>
      </c>
      <c r="BR31" t="s">
        <v>152</v>
      </c>
      <c r="BS31" t="s">
        <v>69</v>
      </c>
      <c r="BT31">
        <v>165.19200000000001</v>
      </c>
      <c r="BU31" t="s">
        <v>69</v>
      </c>
      <c r="BV31" t="s">
        <v>69</v>
      </c>
    </row>
    <row r="32" spans="1:74" x14ac:dyDescent="0.25">
      <c r="A32">
        <v>7</v>
      </c>
      <c r="B32" t="str">
        <f>HYPERLINK("http://www.ncbi.nlm.nih.gov/protein/XP_039536316.1","XP_039536316.1")</f>
        <v>XP_039536316.1</v>
      </c>
      <c r="C32">
        <v>96114</v>
      </c>
      <c r="D32" t="str">
        <f>HYPERLINK("http://www.ncbi.nlm.nih.gov/Taxonomy/Browser/wwwtax.cgi?mode=Info&amp;id=90988&amp;lvl=3&amp;lin=f&amp;keep=1&amp;srchmode=1&amp;unlock","90988")</f>
        <v>90988</v>
      </c>
      <c r="E32" t="s">
        <v>113</v>
      </c>
      <c r="F32" t="str">
        <f>HYPERLINK("http://www.ncbi.nlm.nih.gov/Taxonomy/Browser/wwwtax.cgi?mode=Info&amp;id=90988&amp;lvl=3&amp;lin=f&amp;keep=1&amp;srchmode=1&amp;unlock","Pimephales promelas")</f>
        <v>Pimephales promelas</v>
      </c>
      <c r="G32" t="s">
        <v>114</v>
      </c>
      <c r="H32" t="str">
        <f>HYPERLINK("http://www.ncbi.nlm.nih.gov/protein/XP_039536316.1","ras GTPase-activating protein-binding protein 1 isoform X2")</f>
        <v>ras GTPase-activating protein-binding protein 1 isoform X2</v>
      </c>
      <c r="I32" t="s">
        <v>259</v>
      </c>
      <c r="J32" t="s">
        <v>69</v>
      </c>
      <c r="K32">
        <v>15</v>
      </c>
      <c r="L32" t="s">
        <v>151</v>
      </c>
      <c r="M32" t="s">
        <v>69</v>
      </c>
      <c r="N32" t="s">
        <v>152</v>
      </c>
      <c r="O32" t="s">
        <v>69</v>
      </c>
      <c r="P32">
        <v>165.19200000000001</v>
      </c>
      <c r="Q32" t="s">
        <v>69</v>
      </c>
      <c r="R32" t="s">
        <v>69</v>
      </c>
      <c r="S32">
        <v>18</v>
      </c>
      <c r="T32" t="s">
        <v>147</v>
      </c>
      <c r="U32" t="s">
        <v>69</v>
      </c>
      <c r="V32" t="s">
        <v>148</v>
      </c>
      <c r="W32" t="s">
        <v>69</v>
      </c>
      <c r="X32">
        <v>146.14599999999999</v>
      </c>
      <c r="Y32" t="s">
        <v>69</v>
      </c>
      <c r="Z32" t="s">
        <v>69</v>
      </c>
      <c r="AA32">
        <v>32</v>
      </c>
      <c r="AB32" t="s">
        <v>74</v>
      </c>
      <c r="AC32" t="s">
        <v>69</v>
      </c>
      <c r="AD32" t="s">
        <v>75</v>
      </c>
      <c r="AE32" t="s">
        <v>69</v>
      </c>
      <c r="AF32">
        <v>174.203</v>
      </c>
      <c r="AG32" t="s">
        <v>69</v>
      </c>
      <c r="AH32" t="s">
        <v>69</v>
      </c>
      <c r="AI32">
        <v>34</v>
      </c>
      <c r="AJ32" t="s">
        <v>69</v>
      </c>
      <c r="AK32" t="s">
        <v>69</v>
      </c>
      <c r="AL32" t="s">
        <v>152</v>
      </c>
      <c r="AM32" t="s">
        <v>69</v>
      </c>
      <c r="AN32">
        <v>181.191</v>
      </c>
      <c r="AO32" t="s">
        <v>69</v>
      </c>
      <c r="AP32" t="s">
        <v>69</v>
      </c>
      <c r="AQ32">
        <v>117</v>
      </c>
      <c r="AR32" t="s">
        <v>119</v>
      </c>
      <c r="AS32" t="s">
        <v>69</v>
      </c>
      <c r="AT32" t="s">
        <v>120</v>
      </c>
      <c r="AU32" t="s">
        <v>69</v>
      </c>
      <c r="AV32">
        <v>147.131</v>
      </c>
      <c r="AW32" t="s">
        <v>69</v>
      </c>
      <c r="AX32" t="s">
        <v>69</v>
      </c>
      <c r="AY32">
        <v>122</v>
      </c>
      <c r="AZ32" t="s">
        <v>153</v>
      </c>
      <c r="BA32" t="s">
        <v>69</v>
      </c>
      <c r="BB32" t="s">
        <v>148</v>
      </c>
      <c r="BC32" t="s">
        <v>69</v>
      </c>
      <c r="BD32">
        <v>132.119</v>
      </c>
      <c r="BE32" t="s">
        <v>69</v>
      </c>
      <c r="BF32" t="s">
        <v>69</v>
      </c>
      <c r="BG32">
        <v>123</v>
      </c>
      <c r="BH32" t="s">
        <v>76</v>
      </c>
      <c r="BI32" t="s">
        <v>69</v>
      </c>
      <c r="BJ32" t="s">
        <v>75</v>
      </c>
      <c r="BK32" t="s">
        <v>69</v>
      </c>
      <c r="BL32">
        <v>146.18899999999999</v>
      </c>
      <c r="BM32" t="s">
        <v>69</v>
      </c>
      <c r="BN32" t="s">
        <v>69</v>
      </c>
      <c r="BO32">
        <v>124</v>
      </c>
      <c r="BP32" t="s">
        <v>151</v>
      </c>
      <c r="BQ32" t="s">
        <v>69</v>
      </c>
      <c r="BR32" t="s">
        <v>152</v>
      </c>
      <c r="BS32" t="s">
        <v>69</v>
      </c>
      <c r="BT32">
        <v>165.19200000000001</v>
      </c>
      <c r="BU32" t="s">
        <v>69</v>
      </c>
      <c r="BV32" t="s">
        <v>69</v>
      </c>
    </row>
    <row r="33" spans="1:74" x14ac:dyDescent="0.25">
      <c r="A33">
        <v>7</v>
      </c>
      <c r="B33" t="str">
        <f>HYPERLINK("http://www.ncbi.nlm.nih.gov/protein/XP_018109734.1","XP_018109734.1")</f>
        <v>XP_018109734.1</v>
      </c>
      <c r="C33">
        <v>146185</v>
      </c>
      <c r="D33" t="str">
        <f>HYPERLINK("http://www.ncbi.nlm.nih.gov/Taxonomy/Browser/wwwtax.cgi?mode=Info&amp;id=8355&amp;lvl=3&amp;lin=f&amp;keep=1&amp;srchmode=1&amp;unlock","8355")</f>
        <v>8355</v>
      </c>
      <c r="E33" t="s">
        <v>111</v>
      </c>
      <c r="F33" t="str">
        <f>HYPERLINK("http://www.ncbi.nlm.nih.gov/Taxonomy/Browser/wwwtax.cgi?mode=Info&amp;id=8355&amp;lvl=3&amp;lin=f&amp;keep=1&amp;srchmode=1&amp;unlock","Xenopus laevis")</f>
        <v>Xenopus laevis</v>
      </c>
      <c r="G33" t="s">
        <v>112</v>
      </c>
      <c r="H33" t="str">
        <f>HYPERLINK("http://www.ncbi.nlm.nih.gov/protein/XP_018109734.1","ras GTPase-activating protein-binding protein 1 isoform X2")</f>
        <v>ras GTPase-activating protein-binding protein 1 isoform X2</v>
      </c>
      <c r="I33" t="s">
        <v>259</v>
      </c>
      <c r="J33" t="s">
        <v>69</v>
      </c>
      <c r="K33">
        <v>15</v>
      </c>
      <c r="L33" t="s">
        <v>151</v>
      </c>
      <c r="M33" t="s">
        <v>69</v>
      </c>
      <c r="N33" t="s">
        <v>152</v>
      </c>
      <c r="O33" t="s">
        <v>69</v>
      </c>
      <c r="P33">
        <v>165.19200000000001</v>
      </c>
      <c r="Q33" t="s">
        <v>69</v>
      </c>
      <c r="R33" t="s">
        <v>69</v>
      </c>
      <c r="S33">
        <v>18</v>
      </c>
      <c r="T33" t="s">
        <v>147</v>
      </c>
      <c r="U33" t="s">
        <v>69</v>
      </c>
      <c r="V33" t="s">
        <v>148</v>
      </c>
      <c r="W33" t="s">
        <v>69</v>
      </c>
      <c r="X33">
        <v>146.14599999999999</v>
      </c>
      <c r="Y33" t="s">
        <v>69</v>
      </c>
      <c r="Z33" t="s">
        <v>69</v>
      </c>
      <c r="AA33">
        <v>32</v>
      </c>
      <c r="AB33" t="s">
        <v>74</v>
      </c>
      <c r="AC33" t="s">
        <v>69</v>
      </c>
      <c r="AD33" t="s">
        <v>75</v>
      </c>
      <c r="AE33" t="s">
        <v>69</v>
      </c>
      <c r="AF33">
        <v>174.203</v>
      </c>
      <c r="AG33" t="s">
        <v>69</v>
      </c>
      <c r="AH33" t="s">
        <v>69</v>
      </c>
      <c r="AI33">
        <v>34</v>
      </c>
      <c r="AJ33" t="s">
        <v>69</v>
      </c>
      <c r="AK33" t="s">
        <v>69</v>
      </c>
      <c r="AL33" t="s">
        <v>152</v>
      </c>
      <c r="AM33" t="s">
        <v>69</v>
      </c>
      <c r="AN33">
        <v>181.191</v>
      </c>
      <c r="AO33" t="s">
        <v>69</v>
      </c>
      <c r="AP33" t="s">
        <v>69</v>
      </c>
      <c r="AQ33">
        <v>117</v>
      </c>
      <c r="AR33" t="s">
        <v>119</v>
      </c>
      <c r="AS33" t="s">
        <v>69</v>
      </c>
      <c r="AT33" t="s">
        <v>120</v>
      </c>
      <c r="AU33" t="s">
        <v>69</v>
      </c>
      <c r="AV33">
        <v>147.131</v>
      </c>
      <c r="AW33" t="s">
        <v>69</v>
      </c>
      <c r="AX33" t="s">
        <v>69</v>
      </c>
      <c r="AY33">
        <v>122</v>
      </c>
      <c r="AZ33" t="s">
        <v>153</v>
      </c>
      <c r="BA33" t="s">
        <v>69</v>
      </c>
      <c r="BB33" t="s">
        <v>148</v>
      </c>
      <c r="BC33" t="s">
        <v>69</v>
      </c>
      <c r="BD33">
        <v>132.119</v>
      </c>
      <c r="BE33" t="s">
        <v>69</v>
      </c>
      <c r="BF33" t="s">
        <v>69</v>
      </c>
      <c r="BG33">
        <v>123</v>
      </c>
      <c r="BH33" t="s">
        <v>76</v>
      </c>
      <c r="BI33" t="s">
        <v>69</v>
      </c>
      <c r="BJ33" t="s">
        <v>75</v>
      </c>
      <c r="BK33" t="s">
        <v>69</v>
      </c>
      <c r="BL33">
        <v>146.18899999999999</v>
      </c>
      <c r="BM33" t="s">
        <v>69</v>
      </c>
      <c r="BN33" t="s">
        <v>69</v>
      </c>
      <c r="BO33">
        <v>124</v>
      </c>
      <c r="BP33" t="s">
        <v>151</v>
      </c>
      <c r="BQ33" t="s">
        <v>69</v>
      </c>
      <c r="BR33" t="s">
        <v>152</v>
      </c>
      <c r="BS33" t="s">
        <v>69</v>
      </c>
      <c r="BT33">
        <v>165.19200000000001</v>
      </c>
      <c r="BU33" t="s">
        <v>69</v>
      </c>
      <c r="BV33" t="s">
        <v>69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3"/>
  <sheetViews>
    <sheetView workbookViewId="0"/>
  </sheetViews>
  <sheetFormatPr defaultRowHeight="15" x14ac:dyDescent="0.25"/>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row>
    <row r="2" spans="1:74" x14ac:dyDescent="0.25">
      <c r="A2">
        <v>7</v>
      </c>
      <c r="B2" t="str">
        <f>HYPERLINK("http://www.ncbi.nlm.nih.gov/protein/NP_005745.1","NP_005745.1")</f>
        <v>NP_005745.1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HYPERLINK("http://www.ncbi.nlm.nih.gov/protein/NP_005745.1","ras GTPase-activating protein-binding protein 1")</f>
        <v>ras GTPase-activating protein-binding protein 1</v>
      </c>
      <c r="I2" t="s">
        <v>259</v>
      </c>
      <c r="J2" t="s">
        <v>69</v>
      </c>
      <c r="K2">
        <v>6</v>
      </c>
      <c r="L2" t="s">
        <v>146</v>
      </c>
      <c r="M2" t="s">
        <v>69</v>
      </c>
      <c r="N2" t="s">
        <v>71</v>
      </c>
      <c r="O2" t="s">
        <v>69</v>
      </c>
      <c r="P2">
        <v>115.13200000000001</v>
      </c>
      <c r="Q2" t="s">
        <v>69</v>
      </c>
      <c r="R2" t="s">
        <v>69</v>
      </c>
      <c r="S2">
        <v>10</v>
      </c>
      <c r="T2" t="s">
        <v>72</v>
      </c>
      <c r="U2" t="s">
        <v>69</v>
      </c>
      <c r="V2" t="s">
        <v>71</v>
      </c>
      <c r="W2" t="s">
        <v>69</v>
      </c>
      <c r="X2">
        <v>131.17500000000001</v>
      </c>
      <c r="Y2" t="s">
        <v>69</v>
      </c>
      <c r="Z2" t="s">
        <v>69</v>
      </c>
      <c r="AA2">
        <v>11</v>
      </c>
      <c r="AB2" t="s">
        <v>115</v>
      </c>
      <c r="AC2" t="s">
        <v>69</v>
      </c>
      <c r="AD2" t="s">
        <v>71</v>
      </c>
      <c r="AE2" t="s">
        <v>69</v>
      </c>
      <c r="AF2">
        <v>117.148</v>
      </c>
      <c r="AG2" t="s">
        <v>69</v>
      </c>
      <c r="AH2" t="s">
        <v>69</v>
      </c>
      <c r="AI2">
        <v>14</v>
      </c>
      <c r="AJ2" t="s">
        <v>119</v>
      </c>
      <c r="AK2" t="s">
        <v>69</v>
      </c>
      <c r="AL2" t="s">
        <v>120</v>
      </c>
      <c r="AM2" t="s">
        <v>69</v>
      </c>
      <c r="AN2">
        <v>147.131</v>
      </c>
      <c r="AO2" t="s">
        <v>69</v>
      </c>
      <c r="AP2" t="s">
        <v>69</v>
      </c>
      <c r="AQ2">
        <v>33</v>
      </c>
      <c r="AR2" t="s">
        <v>151</v>
      </c>
      <c r="AS2" t="s">
        <v>69</v>
      </c>
      <c r="AT2" t="s">
        <v>152</v>
      </c>
      <c r="AU2" t="s">
        <v>69</v>
      </c>
      <c r="AV2">
        <v>165.19200000000001</v>
      </c>
      <c r="AW2" t="s">
        <v>69</v>
      </c>
      <c r="AX2" t="s">
        <v>69</v>
      </c>
      <c r="AY2">
        <v>58</v>
      </c>
      <c r="AZ2" t="s">
        <v>147</v>
      </c>
      <c r="BA2" t="s">
        <v>69</v>
      </c>
      <c r="BB2" t="s">
        <v>148</v>
      </c>
      <c r="BC2" t="s">
        <v>69</v>
      </c>
      <c r="BD2">
        <v>146.14599999999999</v>
      </c>
      <c r="BE2" t="s">
        <v>69</v>
      </c>
      <c r="BF2" t="s">
        <v>69</v>
      </c>
      <c r="BG2">
        <v>121</v>
      </c>
      <c r="BH2" t="s">
        <v>73</v>
      </c>
      <c r="BI2" t="s">
        <v>69</v>
      </c>
      <c r="BJ2" t="s">
        <v>71</v>
      </c>
      <c r="BK2" t="s">
        <v>69</v>
      </c>
      <c r="BL2">
        <v>89.093999999999994</v>
      </c>
      <c r="BM2" t="s">
        <v>69</v>
      </c>
      <c r="BN2" t="s">
        <v>69</v>
      </c>
      <c r="BO2">
        <v>125</v>
      </c>
      <c r="BP2" t="s">
        <v>69</v>
      </c>
      <c r="BQ2" t="s">
        <v>69</v>
      </c>
      <c r="BR2" t="s">
        <v>152</v>
      </c>
      <c r="BS2" t="s">
        <v>69</v>
      </c>
      <c r="BT2">
        <v>181.191</v>
      </c>
      <c r="BU2" t="s">
        <v>69</v>
      </c>
      <c r="BV2" t="s">
        <v>69</v>
      </c>
    </row>
    <row r="3" spans="1:74" x14ac:dyDescent="0.25">
      <c r="A3">
        <v>7</v>
      </c>
      <c r="B3" t="str">
        <f>HYPERLINK("http://www.ncbi.nlm.nih.gov/protein/XP_018883045.1","XP_018883045.1")</f>
        <v>XP_018883045.1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HYPERLINK("http://www.ncbi.nlm.nih.gov/protein/XP_018883045.1","ras GTPase-activating protein-binding protein 1")</f>
        <v>ras GTPase-activating protein-binding protein 1</v>
      </c>
      <c r="I3" t="s">
        <v>259</v>
      </c>
      <c r="J3" t="s">
        <v>69</v>
      </c>
      <c r="K3">
        <v>6</v>
      </c>
      <c r="L3" t="s">
        <v>146</v>
      </c>
      <c r="M3" t="s">
        <v>69</v>
      </c>
      <c r="N3" t="s">
        <v>71</v>
      </c>
      <c r="O3" t="s">
        <v>69</v>
      </c>
      <c r="P3">
        <v>115.13200000000001</v>
      </c>
      <c r="Q3" t="s">
        <v>69</v>
      </c>
      <c r="R3" t="s">
        <v>69</v>
      </c>
      <c r="S3">
        <v>10</v>
      </c>
      <c r="T3" t="s">
        <v>72</v>
      </c>
      <c r="U3" t="s">
        <v>69</v>
      </c>
      <c r="V3" t="s">
        <v>71</v>
      </c>
      <c r="W3" t="s">
        <v>69</v>
      </c>
      <c r="X3">
        <v>131.17500000000001</v>
      </c>
      <c r="Y3" t="s">
        <v>69</v>
      </c>
      <c r="Z3" t="s">
        <v>69</v>
      </c>
      <c r="AA3">
        <v>11</v>
      </c>
      <c r="AB3" t="s">
        <v>115</v>
      </c>
      <c r="AC3" t="s">
        <v>69</v>
      </c>
      <c r="AD3" t="s">
        <v>71</v>
      </c>
      <c r="AE3" t="s">
        <v>69</v>
      </c>
      <c r="AF3">
        <v>117.148</v>
      </c>
      <c r="AG3" t="s">
        <v>69</v>
      </c>
      <c r="AH3" t="s">
        <v>69</v>
      </c>
      <c r="AI3">
        <v>14</v>
      </c>
      <c r="AJ3" t="s">
        <v>119</v>
      </c>
      <c r="AK3" t="s">
        <v>69</v>
      </c>
      <c r="AL3" t="s">
        <v>120</v>
      </c>
      <c r="AM3" t="s">
        <v>69</v>
      </c>
      <c r="AN3">
        <v>147.131</v>
      </c>
      <c r="AO3" t="s">
        <v>69</v>
      </c>
      <c r="AP3" t="s">
        <v>69</v>
      </c>
      <c r="AQ3">
        <v>33</v>
      </c>
      <c r="AR3" t="s">
        <v>151</v>
      </c>
      <c r="AS3" t="s">
        <v>69</v>
      </c>
      <c r="AT3" t="s">
        <v>152</v>
      </c>
      <c r="AU3" t="s">
        <v>69</v>
      </c>
      <c r="AV3">
        <v>165.19200000000001</v>
      </c>
      <c r="AW3" t="s">
        <v>69</v>
      </c>
      <c r="AX3" t="s">
        <v>69</v>
      </c>
      <c r="AY3">
        <v>58</v>
      </c>
      <c r="AZ3" t="s">
        <v>147</v>
      </c>
      <c r="BA3" t="s">
        <v>69</v>
      </c>
      <c r="BB3" t="s">
        <v>148</v>
      </c>
      <c r="BC3" t="s">
        <v>69</v>
      </c>
      <c r="BD3">
        <v>146.14599999999999</v>
      </c>
      <c r="BE3" t="s">
        <v>69</v>
      </c>
      <c r="BF3" t="s">
        <v>69</v>
      </c>
      <c r="BG3">
        <v>121</v>
      </c>
      <c r="BH3" t="s">
        <v>73</v>
      </c>
      <c r="BI3" t="s">
        <v>69</v>
      </c>
      <c r="BJ3" t="s">
        <v>71</v>
      </c>
      <c r="BK3" t="s">
        <v>69</v>
      </c>
      <c r="BL3">
        <v>89.093999999999994</v>
      </c>
      <c r="BM3" t="s">
        <v>69</v>
      </c>
      <c r="BN3" t="s">
        <v>69</v>
      </c>
      <c r="BO3">
        <v>125</v>
      </c>
      <c r="BP3" t="s">
        <v>69</v>
      </c>
      <c r="BQ3" t="s">
        <v>69</v>
      </c>
      <c r="BR3" t="s">
        <v>152</v>
      </c>
      <c r="BS3" t="s">
        <v>69</v>
      </c>
      <c r="BT3">
        <v>181.191</v>
      </c>
      <c r="BU3" t="s">
        <v>69</v>
      </c>
      <c r="BV3" t="s">
        <v>69</v>
      </c>
    </row>
    <row r="4" spans="1:74" x14ac:dyDescent="0.25">
      <c r="A4">
        <v>7</v>
      </c>
      <c r="B4" t="str">
        <f>HYPERLINK("http://www.ncbi.nlm.nih.gov/protein/XP_035144871.1","XP_035144871.1")</f>
        <v>XP_035144871.1</v>
      </c>
      <c r="C4">
        <v>87664</v>
      </c>
      <c r="D4" t="str">
        <f>HYPERLINK("http://www.ncbi.nlm.nih.gov/Taxonomy/Browser/wwwtax.cgi?mode=Info&amp;id=9483&amp;lvl=3&amp;lin=f&amp;keep=1&amp;srchmode=1&amp;unlock","9483")</f>
        <v>9483</v>
      </c>
      <c r="E4" t="s">
        <v>66</v>
      </c>
      <c r="F4" t="str">
        <f>HYPERLINK("http://www.ncbi.nlm.nih.gov/Taxonomy/Browser/wwwtax.cgi?mode=Info&amp;id=9483&amp;lvl=3&amp;lin=f&amp;keep=1&amp;srchmode=1&amp;unlock","Callithrix jacchus")</f>
        <v>Callithrix jacchus</v>
      </c>
      <c r="G4" t="s">
        <v>106</v>
      </c>
      <c r="H4" t="str">
        <f>HYPERLINK("http://www.ncbi.nlm.nih.gov/protein/XP_035144871.1","ras GTPase-activating protein-binding protein 1 isoform X1")</f>
        <v>ras GTPase-activating protein-binding protein 1 isoform X1</v>
      </c>
      <c r="I4" t="s">
        <v>259</v>
      </c>
      <c r="J4" t="s">
        <v>69</v>
      </c>
      <c r="K4">
        <v>116</v>
      </c>
      <c r="L4" t="s">
        <v>146</v>
      </c>
      <c r="M4" t="s">
        <v>69</v>
      </c>
      <c r="N4" t="s">
        <v>71</v>
      </c>
      <c r="O4" t="s">
        <v>69</v>
      </c>
      <c r="P4">
        <v>115.13200000000001</v>
      </c>
      <c r="Q4" t="s">
        <v>69</v>
      </c>
      <c r="R4" t="s">
        <v>69</v>
      </c>
      <c r="S4">
        <v>120</v>
      </c>
      <c r="T4" t="s">
        <v>72</v>
      </c>
      <c r="U4" t="s">
        <v>69</v>
      </c>
      <c r="V4" t="s">
        <v>71</v>
      </c>
      <c r="W4" t="s">
        <v>69</v>
      </c>
      <c r="X4">
        <v>131.17500000000001</v>
      </c>
      <c r="Y4" t="s">
        <v>69</v>
      </c>
      <c r="Z4" t="s">
        <v>69</v>
      </c>
      <c r="AA4">
        <v>121</v>
      </c>
      <c r="AB4" t="s">
        <v>115</v>
      </c>
      <c r="AC4" t="s">
        <v>69</v>
      </c>
      <c r="AD4" t="s">
        <v>71</v>
      </c>
      <c r="AE4" t="s">
        <v>69</v>
      </c>
      <c r="AF4">
        <v>117.148</v>
      </c>
      <c r="AG4" t="s">
        <v>69</v>
      </c>
      <c r="AH4" t="s">
        <v>69</v>
      </c>
      <c r="AI4">
        <v>124</v>
      </c>
      <c r="AJ4" t="s">
        <v>119</v>
      </c>
      <c r="AK4" t="s">
        <v>69</v>
      </c>
      <c r="AL4" t="s">
        <v>120</v>
      </c>
      <c r="AM4" t="s">
        <v>69</v>
      </c>
      <c r="AN4">
        <v>147.131</v>
      </c>
      <c r="AO4" t="s">
        <v>69</v>
      </c>
      <c r="AP4" t="s">
        <v>69</v>
      </c>
      <c r="AQ4">
        <v>143</v>
      </c>
      <c r="AR4" t="s">
        <v>151</v>
      </c>
      <c r="AS4" t="s">
        <v>69</v>
      </c>
      <c r="AT4" t="s">
        <v>152</v>
      </c>
      <c r="AU4" t="s">
        <v>69</v>
      </c>
      <c r="AV4">
        <v>165.19200000000001</v>
      </c>
      <c r="AW4" t="s">
        <v>69</v>
      </c>
      <c r="AX4" t="s">
        <v>69</v>
      </c>
      <c r="AY4">
        <v>168</v>
      </c>
      <c r="AZ4" t="s">
        <v>147</v>
      </c>
      <c r="BA4" t="s">
        <v>69</v>
      </c>
      <c r="BB4" t="s">
        <v>148</v>
      </c>
      <c r="BC4" t="s">
        <v>69</v>
      </c>
      <c r="BD4">
        <v>146.14599999999999</v>
      </c>
      <c r="BE4" t="s">
        <v>69</v>
      </c>
      <c r="BF4" t="s">
        <v>69</v>
      </c>
      <c r="BG4">
        <v>231</v>
      </c>
      <c r="BH4" t="s">
        <v>73</v>
      </c>
      <c r="BI4" t="s">
        <v>69</v>
      </c>
      <c r="BJ4" t="s">
        <v>71</v>
      </c>
      <c r="BK4" t="s">
        <v>69</v>
      </c>
      <c r="BL4">
        <v>89.093999999999994</v>
      </c>
      <c r="BM4" t="s">
        <v>69</v>
      </c>
      <c r="BN4" t="s">
        <v>69</v>
      </c>
      <c r="BO4">
        <v>235</v>
      </c>
      <c r="BP4" t="s">
        <v>69</v>
      </c>
      <c r="BQ4" t="s">
        <v>69</v>
      </c>
      <c r="BR4" t="s">
        <v>152</v>
      </c>
      <c r="BS4" t="s">
        <v>69</v>
      </c>
      <c r="BT4">
        <v>181.191</v>
      </c>
      <c r="BU4" t="s">
        <v>69</v>
      </c>
      <c r="BV4" t="s">
        <v>69</v>
      </c>
    </row>
    <row r="5" spans="1:74" x14ac:dyDescent="0.25">
      <c r="A5">
        <v>7</v>
      </c>
      <c r="B5" t="str">
        <f>HYPERLINK("http://www.ncbi.nlm.nih.gov/protein/NP_001248671.1","NP_001248671.1")</f>
        <v>NP_001248671.1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HYPERLINK("http://www.ncbi.nlm.nih.gov/protein/NP_001248671.1","ras GTPase-activating protein-binding protein 1")</f>
        <v>ras GTPase-activating protein-binding protein 1</v>
      </c>
      <c r="I5" t="s">
        <v>259</v>
      </c>
      <c r="J5" t="s">
        <v>69</v>
      </c>
      <c r="K5">
        <v>6</v>
      </c>
      <c r="L5" t="s">
        <v>146</v>
      </c>
      <c r="M5" t="s">
        <v>69</v>
      </c>
      <c r="N5" t="s">
        <v>71</v>
      </c>
      <c r="O5" t="s">
        <v>69</v>
      </c>
      <c r="P5">
        <v>115.13200000000001</v>
      </c>
      <c r="Q5" t="s">
        <v>69</v>
      </c>
      <c r="R5" t="s">
        <v>69</v>
      </c>
      <c r="S5">
        <v>10</v>
      </c>
      <c r="T5" t="s">
        <v>72</v>
      </c>
      <c r="U5" t="s">
        <v>69</v>
      </c>
      <c r="V5" t="s">
        <v>71</v>
      </c>
      <c r="W5" t="s">
        <v>69</v>
      </c>
      <c r="X5">
        <v>131.17500000000001</v>
      </c>
      <c r="Y5" t="s">
        <v>69</v>
      </c>
      <c r="Z5" t="s">
        <v>69</v>
      </c>
      <c r="AA5">
        <v>11</v>
      </c>
      <c r="AB5" t="s">
        <v>115</v>
      </c>
      <c r="AC5" t="s">
        <v>69</v>
      </c>
      <c r="AD5" t="s">
        <v>71</v>
      </c>
      <c r="AE5" t="s">
        <v>69</v>
      </c>
      <c r="AF5">
        <v>117.148</v>
      </c>
      <c r="AG5" t="s">
        <v>69</v>
      </c>
      <c r="AH5" t="s">
        <v>69</v>
      </c>
      <c r="AI5">
        <v>14</v>
      </c>
      <c r="AJ5" t="s">
        <v>119</v>
      </c>
      <c r="AK5" t="s">
        <v>69</v>
      </c>
      <c r="AL5" t="s">
        <v>120</v>
      </c>
      <c r="AM5" t="s">
        <v>69</v>
      </c>
      <c r="AN5">
        <v>147.131</v>
      </c>
      <c r="AO5" t="s">
        <v>69</v>
      </c>
      <c r="AP5" t="s">
        <v>69</v>
      </c>
      <c r="AQ5">
        <v>33</v>
      </c>
      <c r="AR5" t="s">
        <v>151</v>
      </c>
      <c r="AS5" t="s">
        <v>69</v>
      </c>
      <c r="AT5" t="s">
        <v>152</v>
      </c>
      <c r="AU5" t="s">
        <v>69</v>
      </c>
      <c r="AV5">
        <v>165.19200000000001</v>
      </c>
      <c r="AW5" t="s">
        <v>69</v>
      </c>
      <c r="AX5" t="s">
        <v>69</v>
      </c>
      <c r="AY5">
        <v>58</v>
      </c>
      <c r="AZ5" t="s">
        <v>147</v>
      </c>
      <c r="BA5" t="s">
        <v>69</v>
      </c>
      <c r="BB5" t="s">
        <v>148</v>
      </c>
      <c r="BC5" t="s">
        <v>69</v>
      </c>
      <c r="BD5">
        <v>146.14599999999999</v>
      </c>
      <c r="BE5" t="s">
        <v>69</v>
      </c>
      <c r="BF5" t="s">
        <v>69</v>
      </c>
      <c r="BG5">
        <v>121</v>
      </c>
      <c r="BH5" t="s">
        <v>73</v>
      </c>
      <c r="BI5" t="s">
        <v>69</v>
      </c>
      <c r="BJ5" t="s">
        <v>71</v>
      </c>
      <c r="BK5" t="s">
        <v>69</v>
      </c>
      <c r="BL5">
        <v>89.093999999999994</v>
      </c>
      <c r="BM5" t="s">
        <v>69</v>
      </c>
      <c r="BN5" t="s">
        <v>69</v>
      </c>
      <c r="BO5">
        <v>125</v>
      </c>
      <c r="BP5" t="s">
        <v>69</v>
      </c>
      <c r="BQ5" t="s">
        <v>69</v>
      </c>
      <c r="BR5" t="s">
        <v>152</v>
      </c>
      <c r="BS5" t="s">
        <v>69</v>
      </c>
      <c r="BT5">
        <v>181.191</v>
      </c>
      <c r="BU5" t="s">
        <v>69</v>
      </c>
      <c r="BV5" t="s">
        <v>69</v>
      </c>
    </row>
    <row r="6" spans="1:74" x14ac:dyDescent="0.25">
      <c r="A6">
        <v>7</v>
      </c>
      <c r="B6" t="str">
        <f>HYPERLINK("http://www.ncbi.nlm.nih.gov/protein/XP_008013253.2","XP_008013253.2")</f>
        <v>XP_008013253.2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HYPERLINK("http://www.ncbi.nlm.nih.gov/protein/XP_008013253.2","ras GTPase-activating protein-binding protein 1")</f>
        <v>ras GTPase-activating protein-binding protein 1</v>
      </c>
      <c r="I6" t="s">
        <v>259</v>
      </c>
      <c r="J6" t="s">
        <v>69</v>
      </c>
      <c r="K6">
        <v>6</v>
      </c>
      <c r="L6" t="s">
        <v>146</v>
      </c>
      <c r="M6" t="s">
        <v>69</v>
      </c>
      <c r="N6" t="s">
        <v>71</v>
      </c>
      <c r="O6" t="s">
        <v>69</v>
      </c>
      <c r="P6">
        <v>115.13200000000001</v>
      </c>
      <c r="Q6" t="s">
        <v>69</v>
      </c>
      <c r="R6" t="s">
        <v>69</v>
      </c>
      <c r="S6">
        <v>10</v>
      </c>
      <c r="T6" t="s">
        <v>72</v>
      </c>
      <c r="U6" t="s">
        <v>69</v>
      </c>
      <c r="V6" t="s">
        <v>71</v>
      </c>
      <c r="W6" t="s">
        <v>69</v>
      </c>
      <c r="X6">
        <v>131.17500000000001</v>
      </c>
      <c r="Y6" t="s">
        <v>69</v>
      </c>
      <c r="Z6" t="s">
        <v>69</v>
      </c>
      <c r="AA6">
        <v>11</v>
      </c>
      <c r="AB6" t="s">
        <v>115</v>
      </c>
      <c r="AC6" t="s">
        <v>69</v>
      </c>
      <c r="AD6" t="s">
        <v>71</v>
      </c>
      <c r="AE6" t="s">
        <v>69</v>
      </c>
      <c r="AF6">
        <v>117.148</v>
      </c>
      <c r="AG6" t="s">
        <v>69</v>
      </c>
      <c r="AH6" t="s">
        <v>69</v>
      </c>
      <c r="AI6">
        <v>14</v>
      </c>
      <c r="AJ6" t="s">
        <v>119</v>
      </c>
      <c r="AK6" t="s">
        <v>69</v>
      </c>
      <c r="AL6" t="s">
        <v>120</v>
      </c>
      <c r="AM6" t="s">
        <v>69</v>
      </c>
      <c r="AN6">
        <v>147.131</v>
      </c>
      <c r="AO6" t="s">
        <v>69</v>
      </c>
      <c r="AP6" t="s">
        <v>69</v>
      </c>
      <c r="AQ6">
        <v>33</v>
      </c>
      <c r="AR6" t="s">
        <v>151</v>
      </c>
      <c r="AS6" t="s">
        <v>69</v>
      </c>
      <c r="AT6" t="s">
        <v>152</v>
      </c>
      <c r="AU6" t="s">
        <v>69</v>
      </c>
      <c r="AV6">
        <v>165.19200000000001</v>
      </c>
      <c r="AW6" t="s">
        <v>69</v>
      </c>
      <c r="AX6" t="s">
        <v>69</v>
      </c>
      <c r="AY6">
        <v>58</v>
      </c>
      <c r="AZ6" t="s">
        <v>147</v>
      </c>
      <c r="BA6" t="s">
        <v>69</v>
      </c>
      <c r="BB6" t="s">
        <v>148</v>
      </c>
      <c r="BC6" t="s">
        <v>69</v>
      </c>
      <c r="BD6">
        <v>146.14599999999999</v>
      </c>
      <c r="BE6" t="s">
        <v>69</v>
      </c>
      <c r="BF6" t="s">
        <v>69</v>
      </c>
      <c r="BG6">
        <v>121</v>
      </c>
      <c r="BH6" t="s">
        <v>73</v>
      </c>
      <c r="BI6" t="s">
        <v>69</v>
      </c>
      <c r="BJ6" t="s">
        <v>71</v>
      </c>
      <c r="BK6" t="s">
        <v>69</v>
      </c>
      <c r="BL6">
        <v>89.093999999999994</v>
      </c>
      <c r="BM6" t="s">
        <v>69</v>
      </c>
      <c r="BN6" t="s">
        <v>69</v>
      </c>
      <c r="BO6">
        <v>125</v>
      </c>
      <c r="BP6" t="s">
        <v>69</v>
      </c>
      <c r="BQ6" t="s">
        <v>69</v>
      </c>
      <c r="BR6" t="s">
        <v>152</v>
      </c>
      <c r="BS6" t="s">
        <v>69</v>
      </c>
      <c r="BT6">
        <v>181.191</v>
      </c>
      <c r="BU6" t="s">
        <v>69</v>
      </c>
      <c r="BV6" t="s">
        <v>69</v>
      </c>
    </row>
    <row r="7" spans="1:74" x14ac:dyDescent="0.25">
      <c r="A7">
        <v>7</v>
      </c>
      <c r="B7" t="str">
        <f>HYPERLINK("http://www.ncbi.nlm.nih.gov/protein/XP_009207705.1","XP_009207705.1")</f>
        <v>XP_009207705.1</v>
      </c>
      <c r="C7">
        <v>73529</v>
      </c>
      <c r="D7" t="str">
        <f>HYPERLINK("http://www.ncbi.nlm.nih.gov/Taxonomy/Browser/wwwtax.cgi?mode=Info&amp;id=9555&amp;lvl=3&amp;lin=f&amp;keep=1&amp;srchmode=1&amp;unlock","9555")</f>
        <v>9555</v>
      </c>
      <c r="E7" t="s">
        <v>66</v>
      </c>
      <c r="F7" t="str">
        <f>HYPERLINK("http://www.ncbi.nlm.nih.gov/Taxonomy/Browser/wwwtax.cgi?mode=Info&amp;id=9555&amp;lvl=3&amp;lin=f&amp;keep=1&amp;srchmode=1&amp;unlock","Papio anubis")</f>
        <v>Papio anubis</v>
      </c>
      <c r="G7" t="s">
        <v>80</v>
      </c>
      <c r="H7" t="str">
        <f>HYPERLINK("http://www.ncbi.nlm.nih.gov/protein/XP_009207705.1","ras GTPase-activating protein-binding protein 1")</f>
        <v>ras GTPase-activating protein-binding protein 1</v>
      </c>
      <c r="I7" t="s">
        <v>259</v>
      </c>
      <c r="J7" t="s">
        <v>69</v>
      </c>
      <c r="K7">
        <v>6</v>
      </c>
      <c r="L7" t="s">
        <v>146</v>
      </c>
      <c r="M7" t="s">
        <v>69</v>
      </c>
      <c r="N7" t="s">
        <v>71</v>
      </c>
      <c r="O7" t="s">
        <v>69</v>
      </c>
      <c r="P7">
        <v>115.13200000000001</v>
      </c>
      <c r="Q7" t="s">
        <v>69</v>
      </c>
      <c r="R7" t="s">
        <v>69</v>
      </c>
      <c r="S7">
        <v>10</v>
      </c>
      <c r="T7" t="s">
        <v>72</v>
      </c>
      <c r="U7" t="s">
        <v>69</v>
      </c>
      <c r="V7" t="s">
        <v>71</v>
      </c>
      <c r="W7" t="s">
        <v>69</v>
      </c>
      <c r="X7">
        <v>131.17500000000001</v>
      </c>
      <c r="Y7" t="s">
        <v>69</v>
      </c>
      <c r="Z7" t="s">
        <v>69</v>
      </c>
      <c r="AA7">
        <v>11</v>
      </c>
      <c r="AB7" t="s">
        <v>115</v>
      </c>
      <c r="AC7" t="s">
        <v>69</v>
      </c>
      <c r="AD7" t="s">
        <v>71</v>
      </c>
      <c r="AE7" t="s">
        <v>69</v>
      </c>
      <c r="AF7">
        <v>117.148</v>
      </c>
      <c r="AG7" t="s">
        <v>69</v>
      </c>
      <c r="AH7" t="s">
        <v>69</v>
      </c>
      <c r="AI7">
        <v>14</v>
      </c>
      <c r="AJ7" t="s">
        <v>119</v>
      </c>
      <c r="AK7" t="s">
        <v>69</v>
      </c>
      <c r="AL7" t="s">
        <v>120</v>
      </c>
      <c r="AM7" t="s">
        <v>69</v>
      </c>
      <c r="AN7">
        <v>147.131</v>
      </c>
      <c r="AO7" t="s">
        <v>69</v>
      </c>
      <c r="AP7" t="s">
        <v>69</v>
      </c>
      <c r="AQ7">
        <v>33</v>
      </c>
      <c r="AR7" t="s">
        <v>151</v>
      </c>
      <c r="AS7" t="s">
        <v>69</v>
      </c>
      <c r="AT7" t="s">
        <v>152</v>
      </c>
      <c r="AU7" t="s">
        <v>69</v>
      </c>
      <c r="AV7">
        <v>165.19200000000001</v>
      </c>
      <c r="AW7" t="s">
        <v>69</v>
      </c>
      <c r="AX7" t="s">
        <v>69</v>
      </c>
      <c r="AY7">
        <v>58</v>
      </c>
      <c r="AZ7" t="s">
        <v>147</v>
      </c>
      <c r="BA7" t="s">
        <v>69</v>
      </c>
      <c r="BB7" t="s">
        <v>148</v>
      </c>
      <c r="BC7" t="s">
        <v>69</v>
      </c>
      <c r="BD7">
        <v>146.14599999999999</v>
      </c>
      <c r="BE7" t="s">
        <v>69</v>
      </c>
      <c r="BF7" t="s">
        <v>69</v>
      </c>
      <c r="BG7">
        <v>121</v>
      </c>
      <c r="BH7" t="s">
        <v>73</v>
      </c>
      <c r="BI7" t="s">
        <v>69</v>
      </c>
      <c r="BJ7" t="s">
        <v>71</v>
      </c>
      <c r="BK7" t="s">
        <v>69</v>
      </c>
      <c r="BL7">
        <v>89.093999999999994</v>
      </c>
      <c r="BM7" t="s">
        <v>69</v>
      </c>
      <c r="BN7" t="s">
        <v>69</v>
      </c>
      <c r="BO7">
        <v>125</v>
      </c>
      <c r="BP7" t="s">
        <v>69</v>
      </c>
      <c r="BQ7" t="s">
        <v>69</v>
      </c>
      <c r="BR7" t="s">
        <v>152</v>
      </c>
      <c r="BS7" t="s">
        <v>69</v>
      </c>
      <c r="BT7">
        <v>181.191</v>
      </c>
      <c r="BU7" t="s">
        <v>69</v>
      </c>
      <c r="BV7" t="s">
        <v>69</v>
      </c>
    </row>
    <row r="8" spans="1:74" x14ac:dyDescent="0.25">
      <c r="A8">
        <v>7</v>
      </c>
      <c r="B8" t="str">
        <f>HYPERLINK("http://www.ncbi.nlm.nih.gov/protein/XP_003981422.1","XP_003981422.1")</f>
        <v>XP_003981422.1</v>
      </c>
      <c r="C8">
        <v>74287</v>
      </c>
      <c r="D8" t="str">
        <f>HYPERLINK("http://www.ncbi.nlm.nih.gov/Taxonomy/Browser/wwwtax.cgi?mode=Info&amp;id=9685&amp;lvl=3&amp;lin=f&amp;keep=1&amp;srchmode=1&amp;unlock","9685")</f>
        <v>9685</v>
      </c>
      <c r="E8" t="s">
        <v>66</v>
      </c>
      <c r="F8" t="str">
        <f>HYPERLINK("http://www.ncbi.nlm.nih.gov/Taxonomy/Browser/wwwtax.cgi?mode=Info&amp;id=9685&amp;lvl=3&amp;lin=f&amp;keep=1&amp;srchmode=1&amp;unlock","Felis catus")</f>
        <v>Felis catus</v>
      </c>
      <c r="G8" t="s">
        <v>86</v>
      </c>
      <c r="H8" t="str">
        <f>HYPERLINK("http://www.ncbi.nlm.nih.gov/protein/XP_003981422.1","ras GTPase-activating protein-binding protein 1")</f>
        <v>ras GTPase-activating protein-binding protein 1</v>
      </c>
      <c r="I8" t="s">
        <v>259</v>
      </c>
      <c r="J8" t="s">
        <v>69</v>
      </c>
      <c r="K8">
        <v>6</v>
      </c>
      <c r="L8" t="s">
        <v>146</v>
      </c>
      <c r="M8" t="s">
        <v>69</v>
      </c>
      <c r="N8" t="s">
        <v>71</v>
      </c>
      <c r="O8" t="s">
        <v>69</v>
      </c>
      <c r="P8">
        <v>115.13200000000001</v>
      </c>
      <c r="Q8" t="s">
        <v>69</v>
      </c>
      <c r="R8" t="s">
        <v>69</v>
      </c>
      <c r="S8">
        <v>10</v>
      </c>
      <c r="T8" t="s">
        <v>72</v>
      </c>
      <c r="U8" t="s">
        <v>69</v>
      </c>
      <c r="V8" t="s">
        <v>71</v>
      </c>
      <c r="W8" t="s">
        <v>69</v>
      </c>
      <c r="X8">
        <v>131.17500000000001</v>
      </c>
      <c r="Y8" t="s">
        <v>69</v>
      </c>
      <c r="Z8" t="s">
        <v>69</v>
      </c>
      <c r="AA8">
        <v>11</v>
      </c>
      <c r="AB8" t="s">
        <v>115</v>
      </c>
      <c r="AC8" t="s">
        <v>69</v>
      </c>
      <c r="AD8" t="s">
        <v>71</v>
      </c>
      <c r="AE8" t="s">
        <v>69</v>
      </c>
      <c r="AF8">
        <v>117.148</v>
      </c>
      <c r="AG8" t="s">
        <v>69</v>
      </c>
      <c r="AH8" t="s">
        <v>69</v>
      </c>
      <c r="AI8">
        <v>14</v>
      </c>
      <c r="AJ8" t="s">
        <v>119</v>
      </c>
      <c r="AK8" t="s">
        <v>69</v>
      </c>
      <c r="AL8" t="s">
        <v>120</v>
      </c>
      <c r="AM8" t="s">
        <v>69</v>
      </c>
      <c r="AN8">
        <v>147.131</v>
      </c>
      <c r="AO8" t="s">
        <v>69</v>
      </c>
      <c r="AP8" t="s">
        <v>69</v>
      </c>
      <c r="AQ8">
        <v>33</v>
      </c>
      <c r="AR8" t="s">
        <v>151</v>
      </c>
      <c r="AS8" t="s">
        <v>69</v>
      </c>
      <c r="AT8" t="s">
        <v>152</v>
      </c>
      <c r="AU8" t="s">
        <v>69</v>
      </c>
      <c r="AV8">
        <v>165.19200000000001</v>
      </c>
      <c r="AW8" t="s">
        <v>69</v>
      </c>
      <c r="AX8" t="s">
        <v>69</v>
      </c>
      <c r="AY8">
        <v>58</v>
      </c>
      <c r="AZ8" t="s">
        <v>147</v>
      </c>
      <c r="BA8" t="s">
        <v>69</v>
      </c>
      <c r="BB8" t="s">
        <v>148</v>
      </c>
      <c r="BC8" t="s">
        <v>69</v>
      </c>
      <c r="BD8">
        <v>146.14599999999999</v>
      </c>
      <c r="BE8" t="s">
        <v>69</v>
      </c>
      <c r="BF8" t="s">
        <v>69</v>
      </c>
      <c r="BG8">
        <v>121</v>
      </c>
      <c r="BH8" t="s">
        <v>73</v>
      </c>
      <c r="BI8" t="s">
        <v>69</v>
      </c>
      <c r="BJ8" t="s">
        <v>71</v>
      </c>
      <c r="BK8" t="s">
        <v>69</v>
      </c>
      <c r="BL8">
        <v>89.093999999999994</v>
      </c>
      <c r="BM8" t="s">
        <v>69</v>
      </c>
      <c r="BN8" t="s">
        <v>69</v>
      </c>
      <c r="BO8">
        <v>125</v>
      </c>
      <c r="BP8" t="s">
        <v>69</v>
      </c>
      <c r="BQ8" t="s">
        <v>69</v>
      </c>
      <c r="BR8" t="s">
        <v>152</v>
      </c>
      <c r="BS8" t="s">
        <v>69</v>
      </c>
      <c r="BT8">
        <v>181.191</v>
      </c>
      <c r="BU8" t="s">
        <v>69</v>
      </c>
      <c r="BV8" t="s">
        <v>69</v>
      </c>
    </row>
    <row r="9" spans="1:74" x14ac:dyDescent="0.25">
      <c r="A9">
        <v>7</v>
      </c>
      <c r="B9" t="str">
        <f>HYPERLINK("http://www.ncbi.nlm.nih.gov/protein/XP_042804562.1","XP_042804562.1")</f>
        <v>XP_042804562.1</v>
      </c>
      <c r="C9">
        <v>53677</v>
      </c>
      <c r="D9" t="str">
        <f>HYPERLINK("http://www.ncbi.nlm.nih.gov/Taxonomy/Browser/wwwtax.cgi?mode=Info&amp;id=9689&amp;lvl=3&amp;lin=f&amp;keep=1&amp;srchmode=1&amp;unlock","9689")</f>
        <v>9689</v>
      </c>
      <c r="E9" t="s">
        <v>66</v>
      </c>
      <c r="F9" t="str">
        <f>HYPERLINK("http://www.ncbi.nlm.nih.gov/Taxonomy/Browser/wwwtax.cgi?mode=Info&amp;id=9689&amp;lvl=3&amp;lin=f&amp;keep=1&amp;srchmode=1&amp;unlock","Panthera leo")</f>
        <v>Panthera leo</v>
      </c>
      <c r="G9" t="s">
        <v>90</v>
      </c>
      <c r="H9" t="str">
        <f>HYPERLINK("http://www.ncbi.nlm.nih.gov/protein/XP_042804562.1","ras GTPase-activating protein-binding protein 1")</f>
        <v>ras GTPase-activating protein-binding protein 1</v>
      </c>
      <c r="I9" t="s">
        <v>259</v>
      </c>
      <c r="J9" t="s">
        <v>69</v>
      </c>
      <c r="K9">
        <v>6</v>
      </c>
      <c r="L9" t="s">
        <v>146</v>
      </c>
      <c r="M9" t="s">
        <v>69</v>
      </c>
      <c r="N9" t="s">
        <v>71</v>
      </c>
      <c r="O9" t="s">
        <v>69</v>
      </c>
      <c r="P9">
        <v>115.13200000000001</v>
      </c>
      <c r="Q9" t="s">
        <v>69</v>
      </c>
      <c r="R9" t="s">
        <v>69</v>
      </c>
      <c r="S9">
        <v>10</v>
      </c>
      <c r="T9" t="s">
        <v>72</v>
      </c>
      <c r="U9" t="s">
        <v>69</v>
      </c>
      <c r="V9" t="s">
        <v>71</v>
      </c>
      <c r="W9" t="s">
        <v>69</v>
      </c>
      <c r="X9">
        <v>131.17500000000001</v>
      </c>
      <c r="Y9" t="s">
        <v>69</v>
      </c>
      <c r="Z9" t="s">
        <v>69</v>
      </c>
      <c r="AA9">
        <v>11</v>
      </c>
      <c r="AB9" t="s">
        <v>115</v>
      </c>
      <c r="AC9" t="s">
        <v>69</v>
      </c>
      <c r="AD9" t="s">
        <v>71</v>
      </c>
      <c r="AE9" t="s">
        <v>69</v>
      </c>
      <c r="AF9">
        <v>117.148</v>
      </c>
      <c r="AG9" t="s">
        <v>69</v>
      </c>
      <c r="AH9" t="s">
        <v>69</v>
      </c>
      <c r="AI9">
        <v>14</v>
      </c>
      <c r="AJ9" t="s">
        <v>119</v>
      </c>
      <c r="AK9" t="s">
        <v>69</v>
      </c>
      <c r="AL9" t="s">
        <v>120</v>
      </c>
      <c r="AM9" t="s">
        <v>69</v>
      </c>
      <c r="AN9">
        <v>147.131</v>
      </c>
      <c r="AO9" t="s">
        <v>69</v>
      </c>
      <c r="AP9" t="s">
        <v>69</v>
      </c>
      <c r="AQ9">
        <v>33</v>
      </c>
      <c r="AR9" t="s">
        <v>151</v>
      </c>
      <c r="AS9" t="s">
        <v>69</v>
      </c>
      <c r="AT9" t="s">
        <v>152</v>
      </c>
      <c r="AU9" t="s">
        <v>69</v>
      </c>
      <c r="AV9">
        <v>165.19200000000001</v>
      </c>
      <c r="AW9" t="s">
        <v>69</v>
      </c>
      <c r="AX9" t="s">
        <v>69</v>
      </c>
      <c r="AY9">
        <v>58</v>
      </c>
      <c r="AZ9" t="s">
        <v>147</v>
      </c>
      <c r="BA9" t="s">
        <v>69</v>
      </c>
      <c r="BB9" t="s">
        <v>148</v>
      </c>
      <c r="BC9" t="s">
        <v>69</v>
      </c>
      <c r="BD9">
        <v>146.14599999999999</v>
      </c>
      <c r="BE9" t="s">
        <v>69</v>
      </c>
      <c r="BF9" t="s">
        <v>69</v>
      </c>
      <c r="BG9">
        <v>121</v>
      </c>
      <c r="BH9" t="s">
        <v>73</v>
      </c>
      <c r="BI9" t="s">
        <v>69</v>
      </c>
      <c r="BJ9" t="s">
        <v>71</v>
      </c>
      <c r="BK9" t="s">
        <v>69</v>
      </c>
      <c r="BL9">
        <v>89.093999999999994</v>
      </c>
      <c r="BM9" t="s">
        <v>69</v>
      </c>
      <c r="BN9" t="s">
        <v>69</v>
      </c>
      <c r="BO9">
        <v>125</v>
      </c>
      <c r="BP9" t="s">
        <v>69</v>
      </c>
      <c r="BQ9" t="s">
        <v>69</v>
      </c>
      <c r="BR9" t="s">
        <v>152</v>
      </c>
      <c r="BS9" t="s">
        <v>69</v>
      </c>
      <c r="BT9">
        <v>181.191</v>
      </c>
      <c r="BU9" t="s">
        <v>69</v>
      </c>
      <c r="BV9" t="s">
        <v>69</v>
      </c>
    </row>
    <row r="10" spans="1:74" x14ac:dyDescent="0.25">
      <c r="A10">
        <v>7</v>
      </c>
      <c r="B10" t="str">
        <f>HYPERLINK("http://www.ncbi.nlm.nih.gov/protein/XP_007093489.2","XP_007093489.2")</f>
        <v>XP_007093489.2</v>
      </c>
      <c r="C10">
        <v>56089</v>
      </c>
      <c r="D10" t="str">
        <f>HYPERLINK("http://www.ncbi.nlm.nih.gov/Taxonomy/Browser/wwwtax.cgi?mode=Info&amp;id=9694&amp;lvl=3&amp;lin=f&amp;keep=1&amp;srchmode=1&amp;unlock","9694")</f>
        <v>9694</v>
      </c>
      <c r="E10" t="s">
        <v>66</v>
      </c>
      <c r="F10" t="str">
        <f>HYPERLINK("http://www.ncbi.nlm.nih.gov/Taxonomy/Browser/wwwtax.cgi?mode=Info&amp;id=9694&amp;lvl=3&amp;lin=f&amp;keep=1&amp;srchmode=1&amp;unlock","Panthera tigris")</f>
        <v>Panthera tigris</v>
      </c>
      <c r="G10" t="s">
        <v>89</v>
      </c>
      <c r="H10" t="str">
        <f>HYPERLINK("http://www.ncbi.nlm.nih.gov/protein/XP_007093489.2","ras GTPase-activating protein-binding protein 1")</f>
        <v>ras GTPase-activating protein-binding protein 1</v>
      </c>
      <c r="I10" t="s">
        <v>259</v>
      </c>
      <c r="J10" t="s">
        <v>69</v>
      </c>
      <c r="K10">
        <v>6</v>
      </c>
      <c r="L10" t="s">
        <v>146</v>
      </c>
      <c r="M10" t="s">
        <v>69</v>
      </c>
      <c r="N10" t="s">
        <v>71</v>
      </c>
      <c r="O10" t="s">
        <v>69</v>
      </c>
      <c r="P10">
        <v>115.13200000000001</v>
      </c>
      <c r="Q10" t="s">
        <v>69</v>
      </c>
      <c r="R10" t="s">
        <v>69</v>
      </c>
      <c r="S10">
        <v>10</v>
      </c>
      <c r="T10" t="s">
        <v>72</v>
      </c>
      <c r="U10" t="s">
        <v>69</v>
      </c>
      <c r="V10" t="s">
        <v>71</v>
      </c>
      <c r="W10" t="s">
        <v>69</v>
      </c>
      <c r="X10">
        <v>131.17500000000001</v>
      </c>
      <c r="Y10" t="s">
        <v>69</v>
      </c>
      <c r="Z10" t="s">
        <v>69</v>
      </c>
      <c r="AA10">
        <v>11</v>
      </c>
      <c r="AB10" t="s">
        <v>115</v>
      </c>
      <c r="AC10" t="s">
        <v>69</v>
      </c>
      <c r="AD10" t="s">
        <v>71</v>
      </c>
      <c r="AE10" t="s">
        <v>69</v>
      </c>
      <c r="AF10">
        <v>117.148</v>
      </c>
      <c r="AG10" t="s">
        <v>69</v>
      </c>
      <c r="AH10" t="s">
        <v>69</v>
      </c>
      <c r="AI10">
        <v>14</v>
      </c>
      <c r="AJ10" t="s">
        <v>119</v>
      </c>
      <c r="AK10" t="s">
        <v>69</v>
      </c>
      <c r="AL10" t="s">
        <v>120</v>
      </c>
      <c r="AM10" t="s">
        <v>69</v>
      </c>
      <c r="AN10">
        <v>147.131</v>
      </c>
      <c r="AO10" t="s">
        <v>69</v>
      </c>
      <c r="AP10" t="s">
        <v>69</v>
      </c>
      <c r="AQ10">
        <v>33</v>
      </c>
      <c r="AR10" t="s">
        <v>151</v>
      </c>
      <c r="AS10" t="s">
        <v>69</v>
      </c>
      <c r="AT10" t="s">
        <v>152</v>
      </c>
      <c r="AU10" t="s">
        <v>69</v>
      </c>
      <c r="AV10">
        <v>165.19200000000001</v>
      </c>
      <c r="AW10" t="s">
        <v>69</v>
      </c>
      <c r="AX10" t="s">
        <v>69</v>
      </c>
      <c r="AY10">
        <v>58</v>
      </c>
      <c r="AZ10" t="s">
        <v>147</v>
      </c>
      <c r="BA10" t="s">
        <v>69</v>
      </c>
      <c r="BB10" t="s">
        <v>148</v>
      </c>
      <c r="BC10" t="s">
        <v>69</v>
      </c>
      <c r="BD10">
        <v>146.14599999999999</v>
      </c>
      <c r="BE10" t="s">
        <v>69</v>
      </c>
      <c r="BF10" t="s">
        <v>69</v>
      </c>
      <c r="BG10">
        <v>121</v>
      </c>
      <c r="BH10" t="s">
        <v>73</v>
      </c>
      <c r="BI10" t="s">
        <v>69</v>
      </c>
      <c r="BJ10" t="s">
        <v>71</v>
      </c>
      <c r="BK10" t="s">
        <v>69</v>
      </c>
      <c r="BL10">
        <v>89.093999999999994</v>
      </c>
      <c r="BM10" t="s">
        <v>69</v>
      </c>
      <c r="BN10" t="s">
        <v>69</v>
      </c>
      <c r="BO10">
        <v>125</v>
      </c>
      <c r="BP10" t="s">
        <v>69</v>
      </c>
      <c r="BQ10" t="s">
        <v>69</v>
      </c>
      <c r="BR10" t="s">
        <v>152</v>
      </c>
      <c r="BS10" t="s">
        <v>69</v>
      </c>
      <c r="BT10">
        <v>181.191</v>
      </c>
      <c r="BU10" t="s">
        <v>69</v>
      </c>
      <c r="BV10" t="s">
        <v>69</v>
      </c>
    </row>
    <row r="11" spans="1:74" x14ac:dyDescent="0.25">
      <c r="A11">
        <v>7</v>
      </c>
      <c r="B11" t="str">
        <f>HYPERLINK("http://www.ncbi.nlm.nih.gov/protein/XP_025780588.1","XP_025780588.1")</f>
        <v>XP_025780588.1</v>
      </c>
      <c r="C11">
        <v>23623</v>
      </c>
      <c r="D11" t="str">
        <f>HYPERLINK("http://www.ncbi.nlm.nih.gov/Taxonomy/Browser/wwwtax.cgi?mode=Info&amp;id=9696&amp;lvl=3&amp;lin=f&amp;keep=1&amp;srchmode=1&amp;unlock","9696")</f>
        <v>9696</v>
      </c>
      <c r="E11" t="s">
        <v>66</v>
      </c>
      <c r="F11" t="str">
        <f>HYPERLINK("http://www.ncbi.nlm.nih.gov/Taxonomy/Browser/wwwtax.cgi?mode=Info&amp;id=9696&amp;lvl=3&amp;lin=f&amp;keep=1&amp;srchmode=1&amp;unlock","Puma concolor")</f>
        <v>Puma concolor</v>
      </c>
      <c r="G11" t="s">
        <v>91</v>
      </c>
      <c r="H11" t="str">
        <f>HYPERLINK("http://www.ncbi.nlm.nih.gov/protein/XP_025780588.1","ras GTPase-activating protein-binding protein 1")</f>
        <v>ras GTPase-activating protein-binding protein 1</v>
      </c>
      <c r="I11" t="s">
        <v>259</v>
      </c>
      <c r="J11" t="s">
        <v>69</v>
      </c>
      <c r="K11">
        <v>6</v>
      </c>
      <c r="L11" t="s">
        <v>146</v>
      </c>
      <c r="M11" t="s">
        <v>69</v>
      </c>
      <c r="N11" t="s">
        <v>71</v>
      </c>
      <c r="O11" t="s">
        <v>69</v>
      </c>
      <c r="P11">
        <v>115.13200000000001</v>
      </c>
      <c r="Q11" t="s">
        <v>69</v>
      </c>
      <c r="R11" t="s">
        <v>69</v>
      </c>
      <c r="S11">
        <v>10</v>
      </c>
      <c r="T11" t="s">
        <v>72</v>
      </c>
      <c r="U11" t="s">
        <v>69</v>
      </c>
      <c r="V11" t="s">
        <v>71</v>
      </c>
      <c r="W11" t="s">
        <v>69</v>
      </c>
      <c r="X11">
        <v>131.17500000000001</v>
      </c>
      <c r="Y11" t="s">
        <v>69</v>
      </c>
      <c r="Z11" t="s">
        <v>69</v>
      </c>
      <c r="AA11">
        <v>11</v>
      </c>
      <c r="AB11" t="s">
        <v>115</v>
      </c>
      <c r="AC11" t="s">
        <v>69</v>
      </c>
      <c r="AD11" t="s">
        <v>71</v>
      </c>
      <c r="AE11" t="s">
        <v>69</v>
      </c>
      <c r="AF11">
        <v>117.148</v>
      </c>
      <c r="AG11" t="s">
        <v>69</v>
      </c>
      <c r="AH11" t="s">
        <v>69</v>
      </c>
      <c r="AI11">
        <v>14</v>
      </c>
      <c r="AJ11" t="s">
        <v>119</v>
      </c>
      <c r="AK11" t="s">
        <v>69</v>
      </c>
      <c r="AL11" t="s">
        <v>120</v>
      </c>
      <c r="AM11" t="s">
        <v>69</v>
      </c>
      <c r="AN11">
        <v>147.131</v>
      </c>
      <c r="AO11" t="s">
        <v>69</v>
      </c>
      <c r="AP11" t="s">
        <v>69</v>
      </c>
      <c r="AQ11">
        <v>33</v>
      </c>
      <c r="AR11" t="s">
        <v>151</v>
      </c>
      <c r="AS11" t="s">
        <v>69</v>
      </c>
      <c r="AT11" t="s">
        <v>152</v>
      </c>
      <c r="AU11" t="s">
        <v>69</v>
      </c>
      <c r="AV11">
        <v>165.19200000000001</v>
      </c>
      <c r="AW11" t="s">
        <v>69</v>
      </c>
      <c r="AX11" t="s">
        <v>69</v>
      </c>
      <c r="AY11">
        <v>58</v>
      </c>
      <c r="AZ11" t="s">
        <v>147</v>
      </c>
      <c r="BA11" t="s">
        <v>69</v>
      </c>
      <c r="BB11" t="s">
        <v>148</v>
      </c>
      <c r="BC11" t="s">
        <v>69</v>
      </c>
      <c r="BD11">
        <v>146.14599999999999</v>
      </c>
      <c r="BE11" t="s">
        <v>69</v>
      </c>
      <c r="BF11" t="s">
        <v>69</v>
      </c>
      <c r="BG11">
        <v>121</v>
      </c>
      <c r="BH11" t="s">
        <v>73</v>
      </c>
      <c r="BI11" t="s">
        <v>69</v>
      </c>
      <c r="BJ11" t="s">
        <v>71</v>
      </c>
      <c r="BK11" t="s">
        <v>69</v>
      </c>
      <c r="BL11">
        <v>89.093999999999994</v>
      </c>
      <c r="BM11" t="s">
        <v>69</v>
      </c>
      <c r="BN11" t="s">
        <v>69</v>
      </c>
      <c r="BO11">
        <v>125</v>
      </c>
      <c r="BP11" t="s">
        <v>69</v>
      </c>
      <c r="BQ11" t="s">
        <v>69</v>
      </c>
      <c r="BR11" t="s">
        <v>152</v>
      </c>
      <c r="BS11" t="s">
        <v>69</v>
      </c>
      <c r="BT11">
        <v>181.191</v>
      </c>
      <c r="BU11" t="s">
        <v>69</v>
      </c>
      <c r="BV11" t="s">
        <v>69</v>
      </c>
    </row>
    <row r="12" spans="1:74" x14ac:dyDescent="0.25">
      <c r="A12">
        <v>7</v>
      </c>
      <c r="B12" t="str">
        <f>HYPERLINK("http://www.ncbi.nlm.nih.gov/protein/XP_047704941.1","XP_047704941.1")</f>
        <v>XP_047704941.1</v>
      </c>
      <c r="C12">
        <v>56399</v>
      </c>
      <c r="D12" t="str">
        <f>HYPERLINK("http://www.ncbi.nlm.nih.gov/Taxonomy/Browser/wwwtax.cgi?mode=Info&amp;id=61388&amp;lvl=3&amp;lin=f&amp;keep=1&amp;srchmode=1&amp;unlock","61388")</f>
        <v>61388</v>
      </c>
      <c r="E12" t="s">
        <v>66</v>
      </c>
      <c r="F12" t="str">
        <f>HYPERLINK("http://www.ncbi.nlm.nih.gov/Taxonomy/Browser/wwwtax.cgi?mode=Info&amp;id=61388&amp;lvl=3&amp;lin=f&amp;keep=1&amp;srchmode=1&amp;unlock","Prionailurus viverrinus")</f>
        <v>Prionailurus viverrinus</v>
      </c>
      <c r="G12" t="s">
        <v>94</v>
      </c>
      <c r="H12" t="str">
        <f>HYPERLINK("http://www.ncbi.nlm.nih.gov/protein/XP_047704941.1","ras GTPase-activating protein-binding protein 1")</f>
        <v>ras GTPase-activating protein-binding protein 1</v>
      </c>
      <c r="I12" t="s">
        <v>259</v>
      </c>
      <c r="J12" t="s">
        <v>69</v>
      </c>
      <c r="K12">
        <v>6</v>
      </c>
      <c r="L12" t="s">
        <v>146</v>
      </c>
      <c r="M12" t="s">
        <v>69</v>
      </c>
      <c r="N12" t="s">
        <v>71</v>
      </c>
      <c r="O12" t="s">
        <v>69</v>
      </c>
      <c r="P12">
        <v>115.13200000000001</v>
      </c>
      <c r="Q12" t="s">
        <v>69</v>
      </c>
      <c r="R12" t="s">
        <v>69</v>
      </c>
      <c r="S12">
        <v>10</v>
      </c>
      <c r="T12" t="s">
        <v>72</v>
      </c>
      <c r="U12" t="s">
        <v>69</v>
      </c>
      <c r="V12" t="s">
        <v>71</v>
      </c>
      <c r="W12" t="s">
        <v>69</v>
      </c>
      <c r="X12">
        <v>131.17500000000001</v>
      </c>
      <c r="Y12" t="s">
        <v>69</v>
      </c>
      <c r="Z12" t="s">
        <v>69</v>
      </c>
      <c r="AA12">
        <v>11</v>
      </c>
      <c r="AB12" t="s">
        <v>115</v>
      </c>
      <c r="AC12" t="s">
        <v>69</v>
      </c>
      <c r="AD12" t="s">
        <v>71</v>
      </c>
      <c r="AE12" t="s">
        <v>69</v>
      </c>
      <c r="AF12">
        <v>117.148</v>
      </c>
      <c r="AG12" t="s">
        <v>69</v>
      </c>
      <c r="AH12" t="s">
        <v>69</v>
      </c>
      <c r="AI12">
        <v>14</v>
      </c>
      <c r="AJ12" t="s">
        <v>119</v>
      </c>
      <c r="AK12" t="s">
        <v>69</v>
      </c>
      <c r="AL12" t="s">
        <v>120</v>
      </c>
      <c r="AM12" t="s">
        <v>69</v>
      </c>
      <c r="AN12">
        <v>147.131</v>
      </c>
      <c r="AO12" t="s">
        <v>69</v>
      </c>
      <c r="AP12" t="s">
        <v>69</v>
      </c>
      <c r="AQ12">
        <v>33</v>
      </c>
      <c r="AR12" t="s">
        <v>151</v>
      </c>
      <c r="AS12" t="s">
        <v>69</v>
      </c>
      <c r="AT12" t="s">
        <v>152</v>
      </c>
      <c r="AU12" t="s">
        <v>69</v>
      </c>
      <c r="AV12">
        <v>165.19200000000001</v>
      </c>
      <c r="AW12" t="s">
        <v>69</v>
      </c>
      <c r="AX12" t="s">
        <v>69</v>
      </c>
      <c r="AY12">
        <v>58</v>
      </c>
      <c r="AZ12" t="s">
        <v>147</v>
      </c>
      <c r="BA12" t="s">
        <v>69</v>
      </c>
      <c r="BB12" t="s">
        <v>148</v>
      </c>
      <c r="BC12" t="s">
        <v>69</v>
      </c>
      <c r="BD12">
        <v>146.14599999999999</v>
      </c>
      <c r="BE12" t="s">
        <v>69</v>
      </c>
      <c r="BF12" t="s">
        <v>69</v>
      </c>
      <c r="BG12">
        <v>121</v>
      </c>
      <c r="BH12" t="s">
        <v>73</v>
      </c>
      <c r="BI12" t="s">
        <v>69</v>
      </c>
      <c r="BJ12" t="s">
        <v>71</v>
      </c>
      <c r="BK12" t="s">
        <v>69</v>
      </c>
      <c r="BL12">
        <v>89.093999999999994</v>
      </c>
      <c r="BM12" t="s">
        <v>69</v>
      </c>
      <c r="BN12" t="s">
        <v>69</v>
      </c>
      <c r="BO12">
        <v>125</v>
      </c>
      <c r="BP12" t="s">
        <v>69</v>
      </c>
      <c r="BQ12" t="s">
        <v>69</v>
      </c>
      <c r="BR12" t="s">
        <v>152</v>
      </c>
      <c r="BS12" t="s">
        <v>69</v>
      </c>
      <c r="BT12">
        <v>181.191</v>
      </c>
      <c r="BU12" t="s">
        <v>69</v>
      </c>
      <c r="BV12" t="s">
        <v>69</v>
      </c>
    </row>
    <row r="13" spans="1:74" x14ac:dyDescent="0.25">
      <c r="A13">
        <v>7</v>
      </c>
      <c r="B13" t="str">
        <f>HYPERLINK("http://www.ncbi.nlm.nih.gov/protein/CAD7675408.1","CAD7675408.1")</f>
        <v>CAD7675408.1</v>
      </c>
      <c r="C13">
        <v>27271</v>
      </c>
      <c r="D13" t="str">
        <f>HYPERLINK("http://www.ncbi.nlm.nih.gov/Taxonomy/Browser/wwwtax.cgi?mode=Info&amp;id=34880&amp;lvl=3&amp;lin=f&amp;keep=1&amp;srchmode=1&amp;unlock","34880")</f>
        <v>34880</v>
      </c>
      <c r="E13" t="s">
        <v>66</v>
      </c>
      <c r="F13" t="str">
        <f>HYPERLINK("http://www.ncbi.nlm.nih.gov/Taxonomy/Browser/wwwtax.cgi?mode=Info&amp;id=34880&amp;lvl=3&amp;lin=f&amp;keep=1&amp;srchmode=1&amp;unlock","Nyctereutes procyonoides")</f>
        <v>Nyctereutes procyonoides</v>
      </c>
      <c r="G13" t="s">
        <v>92</v>
      </c>
      <c r="H13" t="str">
        <f>HYPERLINK("http://www.ncbi.nlm.nih.gov/protein/CAD7675408.1","unnamed protein product")</f>
        <v>unnamed protein product</v>
      </c>
      <c r="I13" t="s">
        <v>259</v>
      </c>
      <c r="J13" t="s">
        <v>69</v>
      </c>
      <c r="K13">
        <v>6</v>
      </c>
      <c r="L13" t="s">
        <v>146</v>
      </c>
      <c r="M13" t="s">
        <v>69</v>
      </c>
      <c r="N13" t="s">
        <v>71</v>
      </c>
      <c r="O13" t="s">
        <v>69</v>
      </c>
      <c r="P13">
        <v>115.13200000000001</v>
      </c>
      <c r="Q13" t="s">
        <v>69</v>
      </c>
      <c r="R13" t="s">
        <v>69</v>
      </c>
      <c r="S13">
        <v>10</v>
      </c>
      <c r="T13" t="s">
        <v>72</v>
      </c>
      <c r="U13" t="s">
        <v>69</v>
      </c>
      <c r="V13" t="s">
        <v>71</v>
      </c>
      <c r="W13" t="s">
        <v>69</v>
      </c>
      <c r="X13">
        <v>131.17500000000001</v>
      </c>
      <c r="Y13" t="s">
        <v>69</v>
      </c>
      <c r="Z13" t="s">
        <v>69</v>
      </c>
      <c r="AA13">
        <v>11</v>
      </c>
      <c r="AB13" t="s">
        <v>115</v>
      </c>
      <c r="AC13" t="s">
        <v>69</v>
      </c>
      <c r="AD13" t="s">
        <v>71</v>
      </c>
      <c r="AE13" t="s">
        <v>69</v>
      </c>
      <c r="AF13">
        <v>117.148</v>
      </c>
      <c r="AG13" t="s">
        <v>69</v>
      </c>
      <c r="AH13" t="s">
        <v>69</v>
      </c>
      <c r="AI13">
        <v>14</v>
      </c>
      <c r="AJ13" t="s">
        <v>119</v>
      </c>
      <c r="AK13" t="s">
        <v>69</v>
      </c>
      <c r="AL13" t="s">
        <v>120</v>
      </c>
      <c r="AM13" t="s">
        <v>69</v>
      </c>
      <c r="AN13">
        <v>147.131</v>
      </c>
      <c r="AO13" t="s">
        <v>69</v>
      </c>
      <c r="AP13" t="s">
        <v>69</v>
      </c>
      <c r="AQ13">
        <v>33</v>
      </c>
      <c r="AR13" t="s">
        <v>151</v>
      </c>
      <c r="AS13" t="s">
        <v>69</v>
      </c>
      <c r="AT13" t="s">
        <v>152</v>
      </c>
      <c r="AU13" t="s">
        <v>69</v>
      </c>
      <c r="AV13">
        <v>165.19200000000001</v>
      </c>
      <c r="AW13" t="s">
        <v>69</v>
      </c>
      <c r="AX13" t="s">
        <v>69</v>
      </c>
      <c r="AY13">
        <v>58</v>
      </c>
      <c r="AZ13" t="s">
        <v>147</v>
      </c>
      <c r="BA13" t="s">
        <v>69</v>
      </c>
      <c r="BB13" t="s">
        <v>148</v>
      </c>
      <c r="BC13" t="s">
        <v>69</v>
      </c>
      <c r="BD13">
        <v>146.14599999999999</v>
      </c>
      <c r="BE13" t="s">
        <v>69</v>
      </c>
      <c r="BF13" t="s">
        <v>69</v>
      </c>
      <c r="BG13">
        <v>121</v>
      </c>
      <c r="BH13" t="s">
        <v>73</v>
      </c>
      <c r="BI13" t="s">
        <v>69</v>
      </c>
      <c r="BJ13" t="s">
        <v>71</v>
      </c>
      <c r="BK13" t="s">
        <v>69</v>
      </c>
      <c r="BL13">
        <v>89.093999999999994</v>
      </c>
      <c r="BM13" t="s">
        <v>69</v>
      </c>
      <c r="BN13" t="s">
        <v>69</v>
      </c>
      <c r="BO13">
        <v>125</v>
      </c>
      <c r="BP13" t="s">
        <v>69</v>
      </c>
      <c r="BQ13" t="s">
        <v>69</v>
      </c>
      <c r="BR13" t="s">
        <v>152</v>
      </c>
      <c r="BS13" t="s">
        <v>69</v>
      </c>
      <c r="BT13">
        <v>181.191</v>
      </c>
      <c r="BU13" t="s">
        <v>69</v>
      </c>
      <c r="BV13" t="s">
        <v>69</v>
      </c>
    </row>
    <row r="14" spans="1:74" x14ac:dyDescent="0.25">
      <c r="A14">
        <v>7</v>
      </c>
      <c r="B14" t="str">
        <f>HYPERLINK("http://www.ncbi.nlm.nih.gov/protein/XP_030184733.1","XP_030184733.1")</f>
        <v>XP_030184733.1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HYPERLINK("http://www.ncbi.nlm.nih.gov/protein/XP_030184733.1","ras GTPase-activating protein-binding protein 1")</f>
        <v>ras GTPase-activating protein-binding protein 1</v>
      </c>
      <c r="I14" t="s">
        <v>259</v>
      </c>
      <c r="J14" t="s">
        <v>69</v>
      </c>
      <c r="K14">
        <v>6</v>
      </c>
      <c r="L14" t="s">
        <v>146</v>
      </c>
      <c r="M14" t="s">
        <v>69</v>
      </c>
      <c r="N14" t="s">
        <v>71</v>
      </c>
      <c r="O14" t="s">
        <v>69</v>
      </c>
      <c r="P14">
        <v>115.13200000000001</v>
      </c>
      <c r="Q14" t="s">
        <v>69</v>
      </c>
      <c r="R14" t="s">
        <v>69</v>
      </c>
      <c r="S14">
        <v>10</v>
      </c>
      <c r="T14" t="s">
        <v>72</v>
      </c>
      <c r="U14" t="s">
        <v>69</v>
      </c>
      <c r="V14" t="s">
        <v>71</v>
      </c>
      <c r="W14" t="s">
        <v>69</v>
      </c>
      <c r="X14">
        <v>131.17500000000001</v>
      </c>
      <c r="Y14" t="s">
        <v>69</v>
      </c>
      <c r="Z14" t="s">
        <v>69</v>
      </c>
      <c r="AA14">
        <v>11</v>
      </c>
      <c r="AB14" t="s">
        <v>115</v>
      </c>
      <c r="AC14" t="s">
        <v>69</v>
      </c>
      <c r="AD14" t="s">
        <v>71</v>
      </c>
      <c r="AE14" t="s">
        <v>69</v>
      </c>
      <c r="AF14">
        <v>117.148</v>
      </c>
      <c r="AG14" t="s">
        <v>69</v>
      </c>
      <c r="AH14" t="s">
        <v>69</v>
      </c>
      <c r="AI14">
        <v>14</v>
      </c>
      <c r="AJ14" t="s">
        <v>119</v>
      </c>
      <c r="AK14" t="s">
        <v>69</v>
      </c>
      <c r="AL14" t="s">
        <v>120</v>
      </c>
      <c r="AM14" t="s">
        <v>69</v>
      </c>
      <c r="AN14">
        <v>147.131</v>
      </c>
      <c r="AO14" t="s">
        <v>69</v>
      </c>
      <c r="AP14" t="s">
        <v>69</v>
      </c>
      <c r="AQ14">
        <v>33</v>
      </c>
      <c r="AR14" t="s">
        <v>151</v>
      </c>
      <c r="AS14" t="s">
        <v>69</v>
      </c>
      <c r="AT14" t="s">
        <v>152</v>
      </c>
      <c r="AU14" t="s">
        <v>69</v>
      </c>
      <c r="AV14">
        <v>165.19200000000001</v>
      </c>
      <c r="AW14" t="s">
        <v>69</v>
      </c>
      <c r="AX14" t="s">
        <v>69</v>
      </c>
      <c r="AY14">
        <v>58</v>
      </c>
      <c r="AZ14" t="s">
        <v>147</v>
      </c>
      <c r="BA14" t="s">
        <v>69</v>
      </c>
      <c r="BB14" t="s">
        <v>148</v>
      </c>
      <c r="BC14" t="s">
        <v>69</v>
      </c>
      <c r="BD14">
        <v>146.14599999999999</v>
      </c>
      <c r="BE14" t="s">
        <v>69</v>
      </c>
      <c r="BF14" t="s">
        <v>69</v>
      </c>
      <c r="BG14">
        <v>121</v>
      </c>
      <c r="BH14" t="s">
        <v>73</v>
      </c>
      <c r="BI14" t="s">
        <v>69</v>
      </c>
      <c r="BJ14" t="s">
        <v>71</v>
      </c>
      <c r="BK14" t="s">
        <v>69</v>
      </c>
      <c r="BL14">
        <v>89.093999999999994</v>
      </c>
      <c r="BM14" t="s">
        <v>69</v>
      </c>
      <c r="BN14" t="s">
        <v>69</v>
      </c>
      <c r="BO14">
        <v>125</v>
      </c>
      <c r="BP14" t="s">
        <v>69</v>
      </c>
      <c r="BQ14" t="s">
        <v>69</v>
      </c>
      <c r="BR14" t="s">
        <v>152</v>
      </c>
      <c r="BS14" t="s">
        <v>69</v>
      </c>
      <c r="BT14">
        <v>181.191</v>
      </c>
      <c r="BU14" t="s">
        <v>69</v>
      </c>
      <c r="BV14" t="s">
        <v>69</v>
      </c>
    </row>
    <row r="15" spans="1:74" x14ac:dyDescent="0.25">
      <c r="A15">
        <v>7</v>
      </c>
      <c r="B15" t="str">
        <f>HYPERLINK("http://www.ncbi.nlm.nih.gov/protein/XP_046948193.1","XP_046948193.1")</f>
        <v>XP_046948193.1</v>
      </c>
      <c r="C15">
        <v>38764</v>
      </c>
      <c r="D15" t="str">
        <f>HYPERLINK("http://www.ncbi.nlm.nih.gov/Taxonomy/Browser/wwwtax.cgi?mode=Info&amp;id=61384&amp;lvl=3&amp;lin=f&amp;keep=1&amp;srchmode=1&amp;unlock","61384")</f>
        <v>61384</v>
      </c>
      <c r="E15" t="s">
        <v>66</v>
      </c>
      <c r="F15" t="str">
        <f>HYPERLINK("http://www.ncbi.nlm.nih.gov/Taxonomy/Browser/wwwtax.cgi?mode=Info&amp;id=61384&amp;lvl=3&amp;lin=f&amp;keep=1&amp;srchmode=1&amp;unlock","Lynx rufus")</f>
        <v>Lynx rufus</v>
      </c>
      <c r="G15" t="s">
        <v>93</v>
      </c>
      <c r="H15" t="str">
        <f>HYPERLINK("http://www.ncbi.nlm.nih.gov/protein/XP_046948193.1","ras GTPase-activating protein-binding protein 1")</f>
        <v>ras GTPase-activating protein-binding protein 1</v>
      </c>
      <c r="I15" t="s">
        <v>259</v>
      </c>
      <c r="J15" t="s">
        <v>69</v>
      </c>
      <c r="K15">
        <v>6</v>
      </c>
      <c r="L15" t="s">
        <v>146</v>
      </c>
      <c r="M15" t="s">
        <v>69</v>
      </c>
      <c r="N15" t="s">
        <v>71</v>
      </c>
      <c r="O15" t="s">
        <v>69</v>
      </c>
      <c r="P15">
        <v>115.13200000000001</v>
      </c>
      <c r="Q15" t="s">
        <v>69</v>
      </c>
      <c r="R15" t="s">
        <v>69</v>
      </c>
      <c r="S15">
        <v>10</v>
      </c>
      <c r="T15" t="s">
        <v>72</v>
      </c>
      <c r="U15" t="s">
        <v>69</v>
      </c>
      <c r="V15" t="s">
        <v>71</v>
      </c>
      <c r="W15" t="s">
        <v>69</v>
      </c>
      <c r="X15">
        <v>131.17500000000001</v>
      </c>
      <c r="Y15" t="s">
        <v>69</v>
      </c>
      <c r="Z15" t="s">
        <v>69</v>
      </c>
      <c r="AA15">
        <v>11</v>
      </c>
      <c r="AB15" t="s">
        <v>115</v>
      </c>
      <c r="AC15" t="s">
        <v>69</v>
      </c>
      <c r="AD15" t="s">
        <v>71</v>
      </c>
      <c r="AE15" t="s">
        <v>69</v>
      </c>
      <c r="AF15">
        <v>117.148</v>
      </c>
      <c r="AG15" t="s">
        <v>69</v>
      </c>
      <c r="AH15" t="s">
        <v>69</v>
      </c>
      <c r="AI15">
        <v>14</v>
      </c>
      <c r="AJ15" t="s">
        <v>119</v>
      </c>
      <c r="AK15" t="s">
        <v>69</v>
      </c>
      <c r="AL15" t="s">
        <v>120</v>
      </c>
      <c r="AM15" t="s">
        <v>69</v>
      </c>
      <c r="AN15">
        <v>147.131</v>
      </c>
      <c r="AO15" t="s">
        <v>69</v>
      </c>
      <c r="AP15" t="s">
        <v>69</v>
      </c>
      <c r="AQ15">
        <v>33</v>
      </c>
      <c r="AR15" t="s">
        <v>151</v>
      </c>
      <c r="AS15" t="s">
        <v>69</v>
      </c>
      <c r="AT15" t="s">
        <v>152</v>
      </c>
      <c r="AU15" t="s">
        <v>69</v>
      </c>
      <c r="AV15">
        <v>165.19200000000001</v>
      </c>
      <c r="AW15" t="s">
        <v>69</v>
      </c>
      <c r="AX15" t="s">
        <v>69</v>
      </c>
      <c r="AY15">
        <v>58</v>
      </c>
      <c r="AZ15" t="s">
        <v>147</v>
      </c>
      <c r="BA15" t="s">
        <v>69</v>
      </c>
      <c r="BB15" t="s">
        <v>148</v>
      </c>
      <c r="BC15" t="s">
        <v>69</v>
      </c>
      <c r="BD15">
        <v>146.14599999999999</v>
      </c>
      <c r="BE15" t="s">
        <v>69</v>
      </c>
      <c r="BF15" t="s">
        <v>69</v>
      </c>
      <c r="BG15">
        <v>121</v>
      </c>
      <c r="BH15" t="s">
        <v>73</v>
      </c>
      <c r="BI15" t="s">
        <v>69</v>
      </c>
      <c r="BJ15" t="s">
        <v>71</v>
      </c>
      <c r="BK15" t="s">
        <v>69</v>
      </c>
      <c r="BL15">
        <v>89.093999999999994</v>
      </c>
      <c r="BM15" t="s">
        <v>69</v>
      </c>
      <c r="BN15" t="s">
        <v>69</v>
      </c>
      <c r="BO15">
        <v>125</v>
      </c>
      <c r="BP15" t="s">
        <v>69</v>
      </c>
      <c r="BQ15" t="s">
        <v>69</v>
      </c>
      <c r="BR15" t="s">
        <v>152</v>
      </c>
      <c r="BS15" t="s">
        <v>69</v>
      </c>
      <c r="BT15">
        <v>181.191</v>
      </c>
      <c r="BU15" t="s">
        <v>69</v>
      </c>
      <c r="BV15" t="s">
        <v>69</v>
      </c>
    </row>
    <row r="16" spans="1:74" x14ac:dyDescent="0.25">
      <c r="A16">
        <v>7</v>
      </c>
      <c r="B16" t="str">
        <f>HYPERLINK("http://www.ncbi.nlm.nih.gov/protein/XP_038352930.1","XP_038352930.1")</f>
        <v>XP_038352930.1</v>
      </c>
      <c r="C16">
        <v>136357</v>
      </c>
      <c r="D16" t="str">
        <f>HYPERLINK("http://www.ncbi.nlm.nih.gov/Taxonomy/Browser/wwwtax.cgi?mode=Info&amp;id=9615&amp;lvl=3&amp;lin=f&amp;keep=1&amp;srchmode=1&amp;unlock","9615")</f>
        <v>9615</v>
      </c>
      <c r="E16" t="s">
        <v>66</v>
      </c>
      <c r="F16" t="str">
        <f>HYPERLINK("http://www.ncbi.nlm.nih.gov/Taxonomy/Browser/wwwtax.cgi?mode=Info&amp;id=9615&amp;lvl=3&amp;lin=f&amp;keep=1&amp;srchmode=1&amp;unlock","Canis lupus familiaris")</f>
        <v>Canis lupus familiaris</v>
      </c>
      <c r="G16" t="s">
        <v>84</v>
      </c>
      <c r="H16" t="str">
        <f>HYPERLINK("http://www.ncbi.nlm.nih.gov/protein/XP_038352930.1","ras GTPase-activating protein-binding protein 1")</f>
        <v>ras GTPase-activating protein-binding protein 1</v>
      </c>
      <c r="I16" t="s">
        <v>259</v>
      </c>
      <c r="J16" t="s">
        <v>69</v>
      </c>
      <c r="K16">
        <v>6</v>
      </c>
      <c r="L16" t="s">
        <v>146</v>
      </c>
      <c r="M16" t="s">
        <v>69</v>
      </c>
      <c r="N16" t="s">
        <v>71</v>
      </c>
      <c r="O16" t="s">
        <v>69</v>
      </c>
      <c r="P16">
        <v>115.13200000000001</v>
      </c>
      <c r="Q16" t="s">
        <v>69</v>
      </c>
      <c r="R16" t="s">
        <v>69</v>
      </c>
      <c r="S16">
        <v>10</v>
      </c>
      <c r="T16" t="s">
        <v>72</v>
      </c>
      <c r="U16" t="s">
        <v>69</v>
      </c>
      <c r="V16" t="s">
        <v>71</v>
      </c>
      <c r="W16" t="s">
        <v>69</v>
      </c>
      <c r="X16">
        <v>131.17500000000001</v>
      </c>
      <c r="Y16" t="s">
        <v>69</v>
      </c>
      <c r="Z16" t="s">
        <v>69</v>
      </c>
      <c r="AA16">
        <v>11</v>
      </c>
      <c r="AB16" t="s">
        <v>115</v>
      </c>
      <c r="AC16" t="s">
        <v>69</v>
      </c>
      <c r="AD16" t="s">
        <v>71</v>
      </c>
      <c r="AE16" t="s">
        <v>69</v>
      </c>
      <c r="AF16">
        <v>117.148</v>
      </c>
      <c r="AG16" t="s">
        <v>69</v>
      </c>
      <c r="AH16" t="s">
        <v>69</v>
      </c>
      <c r="AI16">
        <v>14</v>
      </c>
      <c r="AJ16" t="s">
        <v>119</v>
      </c>
      <c r="AK16" t="s">
        <v>69</v>
      </c>
      <c r="AL16" t="s">
        <v>120</v>
      </c>
      <c r="AM16" t="s">
        <v>69</v>
      </c>
      <c r="AN16">
        <v>147.131</v>
      </c>
      <c r="AO16" t="s">
        <v>69</v>
      </c>
      <c r="AP16" t="s">
        <v>69</v>
      </c>
      <c r="AQ16">
        <v>33</v>
      </c>
      <c r="AR16" t="s">
        <v>151</v>
      </c>
      <c r="AS16" t="s">
        <v>69</v>
      </c>
      <c r="AT16" t="s">
        <v>152</v>
      </c>
      <c r="AU16" t="s">
        <v>69</v>
      </c>
      <c r="AV16">
        <v>165.19200000000001</v>
      </c>
      <c r="AW16" t="s">
        <v>69</v>
      </c>
      <c r="AX16" t="s">
        <v>69</v>
      </c>
      <c r="AY16">
        <v>58</v>
      </c>
      <c r="AZ16" t="s">
        <v>147</v>
      </c>
      <c r="BA16" t="s">
        <v>69</v>
      </c>
      <c r="BB16" t="s">
        <v>148</v>
      </c>
      <c r="BC16" t="s">
        <v>69</v>
      </c>
      <c r="BD16">
        <v>146.14599999999999</v>
      </c>
      <c r="BE16" t="s">
        <v>69</v>
      </c>
      <c r="BF16" t="s">
        <v>69</v>
      </c>
      <c r="BG16">
        <v>121</v>
      </c>
      <c r="BH16" t="s">
        <v>73</v>
      </c>
      <c r="BI16" t="s">
        <v>69</v>
      </c>
      <c r="BJ16" t="s">
        <v>71</v>
      </c>
      <c r="BK16" t="s">
        <v>69</v>
      </c>
      <c r="BL16">
        <v>89.093999999999994</v>
      </c>
      <c r="BM16" t="s">
        <v>69</v>
      </c>
      <c r="BN16" t="s">
        <v>69</v>
      </c>
      <c r="BO16">
        <v>125</v>
      </c>
      <c r="BP16" t="s">
        <v>69</v>
      </c>
      <c r="BQ16" t="s">
        <v>69</v>
      </c>
      <c r="BR16" t="s">
        <v>152</v>
      </c>
      <c r="BS16" t="s">
        <v>69</v>
      </c>
      <c r="BT16">
        <v>181.191</v>
      </c>
      <c r="BU16" t="s">
        <v>69</v>
      </c>
      <c r="BV16" t="s">
        <v>69</v>
      </c>
    </row>
    <row r="17" spans="1:74" x14ac:dyDescent="0.25">
      <c r="A17">
        <v>7</v>
      </c>
      <c r="B17" t="str">
        <f>HYPERLINK("http://www.ncbi.nlm.nih.gov/protein/XP_025864026.1","XP_025864026.1")</f>
        <v>XP_025864026.1</v>
      </c>
      <c r="C17">
        <v>38435</v>
      </c>
      <c r="D17" t="str">
        <f>HYPERLINK("http://www.ncbi.nlm.nih.gov/Taxonomy/Browser/wwwtax.cgi?mode=Info&amp;id=9627&amp;lvl=3&amp;lin=f&amp;keep=1&amp;srchmode=1&amp;unlock","9627")</f>
        <v>9627</v>
      </c>
      <c r="E17" t="s">
        <v>66</v>
      </c>
      <c r="F17" t="str">
        <f>HYPERLINK("http://www.ncbi.nlm.nih.gov/Taxonomy/Browser/wwwtax.cgi?mode=Info&amp;id=9627&amp;lvl=3&amp;lin=f&amp;keep=1&amp;srchmode=1&amp;unlock","Vulpes vulpes")</f>
        <v>Vulpes vulpes</v>
      </c>
      <c r="G17" t="s">
        <v>95</v>
      </c>
      <c r="H17" t="str">
        <f>HYPERLINK("http://www.ncbi.nlm.nih.gov/protein/XP_025864026.1","ras GTPase-activating protein-binding protein 1 isoform X2")</f>
        <v>ras GTPase-activating protein-binding protein 1 isoform X2</v>
      </c>
      <c r="I17" t="s">
        <v>259</v>
      </c>
      <c r="J17" t="s">
        <v>69</v>
      </c>
      <c r="K17">
        <v>6</v>
      </c>
      <c r="L17" t="s">
        <v>146</v>
      </c>
      <c r="M17" t="s">
        <v>69</v>
      </c>
      <c r="N17" t="s">
        <v>71</v>
      </c>
      <c r="O17" t="s">
        <v>69</v>
      </c>
      <c r="P17">
        <v>115.13200000000001</v>
      </c>
      <c r="Q17" t="s">
        <v>69</v>
      </c>
      <c r="R17" t="s">
        <v>69</v>
      </c>
      <c r="S17">
        <v>10</v>
      </c>
      <c r="T17" t="s">
        <v>72</v>
      </c>
      <c r="U17" t="s">
        <v>69</v>
      </c>
      <c r="V17" t="s">
        <v>71</v>
      </c>
      <c r="W17" t="s">
        <v>69</v>
      </c>
      <c r="X17">
        <v>131.17500000000001</v>
      </c>
      <c r="Y17" t="s">
        <v>69</v>
      </c>
      <c r="Z17" t="s">
        <v>69</v>
      </c>
      <c r="AA17">
        <v>11</v>
      </c>
      <c r="AB17" t="s">
        <v>115</v>
      </c>
      <c r="AC17" t="s">
        <v>69</v>
      </c>
      <c r="AD17" t="s">
        <v>71</v>
      </c>
      <c r="AE17" t="s">
        <v>69</v>
      </c>
      <c r="AF17">
        <v>117.148</v>
      </c>
      <c r="AG17" t="s">
        <v>69</v>
      </c>
      <c r="AH17" t="s">
        <v>69</v>
      </c>
      <c r="AI17">
        <v>14</v>
      </c>
      <c r="AJ17" t="s">
        <v>119</v>
      </c>
      <c r="AK17" t="s">
        <v>69</v>
      </c>
      <c r="AL17" t="s">
        <v>120</v>
      </c>
      <c r="AM17" t="s">
        <v>69</v>
      </c>
      <c r="AN17">
        <v>147.131</v>
      </c>
      <c r="AO17" t="s">
        <v>69</v>
      </c>
      <c r="AP17" t="s">
        <v>69</v>
      </c>
      <c r="AQ17">
        <v>33</v>
      </c>
      <c r="AR17" t="s">
        <v>151</v>
      </c>
      <c r="AS17" t="s">
        <v>69</v>
      </c>
      <c r="AT17" t="s">
        <v>152</v>
      </c>
      <c r="AU17" t="s">
        <v>69</v>
      </c>
      <c r="AV17">
        <v>165.19200000000001</v>
      </c>
      <c r="AW17" t="s">
        <v>69</v>
      </c>
      <c r="AX17" t="s">
        <v>69</v>
      </c>
      <c r="AY17">
        <v>58</v>
      </c>
      <c r="AZ17" t="s">
        <v>147</v>
      </c>
      <c r="BA17" t="s">
        <v>69</v>
      </c>
      <c r="BB17" t="s">
        <v>148</v>
      </c>
      <c r="BC17" t="s">
        <v>69</v>
      </c>
      <c r="BD17">
        <v>146.14599999999999</v>
      </c>
      <c r="BE17" t="s">
        <v>69</v>
      </c>
      <c r="BF17" t="s">
        <v>69</v>
      </c>
      <c r="BG17">
        <v>121</v>
      </c>
      <c r="BH17" t="s">
        <v>73</v>
      </c>
      <c r="BI17" t="s">
        <v>69</v>
      </c>
      <c r="BJ17" t="s">
        <v>71</v>
      </c>
      <c r="BK17" t="s">
        <v>69</v>
      </c>
      <c r="BL17">
        <v>89.093999999999994</v>
      </c>
      <c r="BM17" t="s">
        <v>69</v>
      </c>
      <c r="BN17" t="s">
        <v>69</v>
      </c>
      <c r="BO17">
        <v>125</v>
      </c>
      <c r="BP17" t="s">
        <v>69</v>
      </c>
      <c r="BQ17" t="s">
        <v>69</v>
      </c>
      <c r="BR17" t="s">
        <v>152</v>
      </c>
      <c r="BS17" t="s">
        <v>69</v>
      </c>
      <c r="BT17">
        <v>181.191</v>
      </c>
      <c r="BU17" t="s">
        <v>69</v>
      </c>
      <c r="BV17" t="s">
        <v>69</v>
      </c>
    </row>
    <row r="18" spans="1:74" x14ac:dyDescent="0.25">
      <c r="A18">
        <v>7</v>
      </c>
      <c r="B18" t="str">
        <f>HYPERLINK("http://www.ncbi.nlm.nih.gov/protein/XP_045855103.1","XP_045855103.1")</f>
        <v>XP_045855103.1</v>
      </c>
      <c r="C18">
        <v>50752</v>
      </c>
      <c r="D18" t="str">
        <f>HYPERLINK("http://www.ncbi.nlm.nih.gov/Taxonomy/Browser/wwwtax.cgi?mode=Info&amp;id=9662&amp;lvl=3&amp;lin=f&amp;keep=1&amp;srchmode=1&amp;unlock","9662")</f>
        <v>9662</v>
      </c>
      <c r="E18" t="s">
        <v>66</v>
      </c>
      <c r="F18" t="str">
        <f>HYPERLINK("http://www.ncbi.nlm.nih.gov/Taxonomy/Browser/wwwtax.cgi?mode=Info&amp;id=9662&amp;lvl=3&amp;lin=f&amp;keep=1&amp;srchmode=1&amp;unlock","Meles meles")</f>
        <v>Meles meles</v>
      </c>
      <c r="G18" t="s">
        <v>99</v>
      </c>
      <c r="H18" t="str">
        <f>HYPERLINK("http://www.ncbi.nlm.nih.gov/protein/XP_045855103.1","ras GTPase-activating protein-binding protein 1")</f>
        <v>ras GTPase-activating protein-binding protein 1</v>
      </c>
      <c r="I18" t="s">
        <v>259</v>
      </c>
      <c r="J18" t="s">
        <v>69</v>
      </c>
      <c r="K18">
        <v>6</v>
      </c>
      <c r="L18" t="s">
        <v>146</v>
      </c>
      <c r="M18" t="s">
        <v>69</v>
      </c>
      <c r="N18" t="s">
        <v>71</v>
      </c>
      <c r="O18" t="s">
        <v>69</v>
      </c>
      <c r="P18">
        <v>115.13200000000001</v>
      </c>
      <c r="Q18" t="s">
        <v>69</v>
      </c>
      <c r="R18" t="s">
        <v>69</v>
      </c>
      <c r="S18">
        <v>10</v>
      </c>
      <c r="T18" t="s">
        <v>72</v>
      </c>
      <c r="U18" t="s">
        <v>69</v>
      </c>
      <c r="V18" t="s">
        <v>71</v>
      </c>
      <c r="W18" t="s">
        <v>69</v>
      </c>
      <c r="X18">
        <v>131.17500000000001</v>
      </c>
      <c r="Y18" t="s">
        <v>69</v>
      </c>
      <c r="Z18" t="s">
        <v>69</v>
      </c>
      <c r="AA18">
        <v>11</v>
      </c>
      <c r="AB18" t="s">
        <v>115</v>
      </c>
      <c r="AC18" t="s">
        <v>69</v>
      </c>
      <c r="AD18" t="s">
        <v>71</v>
      </c>
      <c r="AE18" t="s">
        <v>69</v>
      </c>
      <c r="AF18">
        <v>117.148</v>
      </c>
      <c r="AG18" t="s">
        <v>69</v>
      </c>
      <c r="AH18" t="s">
        <v>69</v>
      </c>
      <c r="AI18">
        <v>14</v>
      </c>
      <c r="AJ18" t="s">
        <v>119</v>
      </c>
      <c r="AK18" t="s">
        <v>69</v>
      </c>
      <c r="AL18" t="s">
        <v>120</v>
      </c>
      <c r="AM18" t="s">
        <v>69</v>
      </c>
      <c r="AN18">
        <v>147.131</v>
      </c>
      <c r="AO18" t="s">
        <v>69</v>
      </c>
      <c r="AP18" t="s">
        <v>69</v>
      </c>
      <c r="AQ18">
        <v>33</v>
      </c>
      <c r="AR18" t="s">
        <v>151</v>
      </c>
      <c r="AS18" t="s">
        <v>69</v>
      </c>
      <c r="AT18" t="s">
        <v>152</v>
      </c>
      <c r="AU18" t="s">
        <v>69</v>
      </c>
      <c r="AV18">
        <v>165.19200000000001</v>
      </c>
      <c r="AW18" t="s">
        <v>69</v>
      </c>
      <c r="AX18" t="s">
        <v>69</v>
      </c>
      <c r="AY18">
        <v>58</v>
      </c>
      <c r="AZ18" t="s">
        <v>147</v>
      </c>
      <c r="BA18" t="s">
        <v>69</v>
      </c>
      <c r="BB18" t="s">
        <v>148</v>
      </c>
      <c r="BC18" t="s">
        <v>69</v>
      </c>
      <c r="BD18">
        <v>146.14599999999999</v>
      </c>
      <c r="BE18" t="s">
        <v>69</v>
      </c>
      <c r="BF18" t="s">
        <v>69</v>
      </c>
      <c r="BG18">
        <v>121</v>
      </c>
      <c r="BH18" t="s">
        <v>73</v>
      </c>
      <c r="BI18" t="s">
        <v>69</v>
      </c>
      <c r="BJ18" t="s">
        <v>71</v>
      </c>
      <c r="BK18" t="s">
        <v>69</v>
      </c>
      <c r="BL18">
        <v>89.093999999999994</v>
      </c>
      <c r="BM18" t="s">
        <v>69</v>
      </c>
      <c r="BN18" t="s">
        <v>69</v>
      </c>
      <c r="BO18">
        <v>125</v>
      </c>
      <c r="BP18" t="s">
        <v>69</v>
      </c>
      <c r="BQ18" t="s">
        <v>69</v>
      </c>
      <c r="BR18" t="s">
        <v>152</v>
      </c>
      <c r="BS18" t="s">
        <v>69</v>
      </c>
      <c r="BT18">
        <v>181.191</v>
      </c>
      <c r="BU18" t="s">
        <v>69</v>
      </c>
      <c r="BV18" t="s">
        <v>69</v>
      </c>
    </row>
    <row r="19" spans="1:74" x14ac:dyDescent="0.25">
      <c r="A19">
        <v>7</v>
      </c>
      <c r="B19" t="str">
        <f>HYPERLINK("http://www.ncbi.nlm.nih.gov/protein/XP_047411897.1","XP_047411897.1")</f>
        <v>XP_047411897.1</v>
      </c>
      <c r="C19">
        <v>74939</v>
      </c>
      <c r="D19" t="str">
        <f>HYPERLINK("http://www.ncbi.nlm.nih.gov/Taxonomy/Browser/wwwtax.cgi?mode=Info&amp;id=30640&amp;lvl=3&amp;lin=f&amp;keep=1&amp;srchmode=1&amp;unlock","30640")</f>
        <v>30640</v>
      </c>
      <c r="E19" t="s">
        <v>66</v>
      </c>
      <c r="F19" t="str">
        <f>HYPERLINK("http://www.ncbi.nlm.nih.gov/Taxonomy/Browser/wwwtax.cgi?mode=Info&amp;id=30640&amp;lvl=3&amp;lin=f&amp;keep=1&amp;srchmode=1&amp;unlock","Neosciurus carolinensis")</f>
        <v>Neosciurus carolinensis</v>
      </c>
      <c r="G19" t="s">
        <v>101</v>
      </c>
      <c r="H19" t="str">
        <f>HYPERLINK("http://www.ncbi.nlm.nih.gov/protein/XP_047411897.1","ras GTPase-activating protein-binding protein 1")</f>
        <v>ras GTPase-activating protein-binding protein 1</v>
      </c>
      <c r="I19" t="s">
        <v>259</v>
      </c>
      <c r="J19" t="s">
        <v>69</v>
      </c>
      <c r="K19">
        <v>6</v>
      </c>
      <c r="L19" t="s">
        <v>146</v>
      </c>
      <c r="M19" t="s">
        <v>69</v>
      </c>
      <c r="N19" t="s">
        <v>71</v>
      </c>
      <c r="O19" t="s">
        <v>69</v>
      </c>
      <c r="P19">
        <v>115.13200000000001</v>
      </c>
      <c r="Q19" t="s">
        <v>69</v>
      </c>
      <c r="R19" t="s">
        <v>69</v>
      </c>
      <c r="S19">
        <v>10</v>
      </c>
      <c r="T19" t="s">
        <v>72</v>
      </c>
      <c r="U19" t="s">
        <v>69</v>
      </c>
      <c r="V19" t="s">
        <v>71</v>
      </c>
      <c r="W19" t="s">
        <v>69</v>
      </c>
      <c r="X19">
        <v>131.17500000000001</v>
      </c>
      <c r="Y19" t="s">
        <v>69</v>
      </c>
      <c r="Z19" t="s">
        <v>69</v>
      </c>
      <c r="AA19">
        <v>11</v>
      </c>
      <c r="AB19" t="s">
        <v>115</v>
      </c>
      <c r="AC19" t="s">
        <v>69</v>
      </c>
      <c r="AD19" t="s">
        <v>71</v>
      </c>
      <c r="AE19" t="s">
        <v>69</v>
      </c>
      <c r="AF19">
        <v>117.148</v>
      </c>
      <c r="AG19" t="s">
        <v>69</v>
      </c>
      <c r="AH19" t="s">
        <v>69</v>
      </c>
      <c r="AI19">
        <v>14</v>
      </c>
      <c r="AJ19" t="s">
        <v>119</v>
      </c>
      <c r="AK19" t="s">
        <v>69</v>
      </c>
      <c r="AL19" t="s">
        <v>120</v>
      </c>
      <c r="AM19" t="s">
        <v>69</v>
      </c>
      <c r="AN19">
        <v>147.131</v>
      </c>
      <c r="AO19" t="s">
        <v>69</v>
      </c>
      <c r="AP19" t="s">
        <v>69</v>
      </c>
      <c r="AQ19">
        <v>33</v>
      </c>
      <c r="AR19" t="s">
        <v>151</v>
      </c>
      <c r="AS19" t="s">
        <v>69</v>
      </c>
      <c r="AT19" t="s">
        <v>152</v>
      </c>
      <c r="AU19" t="s">
        <v>69</v>
      </c>
      <c r="AV19">
        <v>165.19200000000001</v>
      </c>
      <c r="AW19" t="s">
        <v>69</v>
      </c>
      <c r="AX19" t="s">
        <v>69</v>
      </c>
      <c r="AY19">
        <v>58</v>
      </c>
      <c r="AZ19" t="s">
        <v>147</v>
      </c>
      <c r="BA19" t="s">
        <v>69</v>
      </c>
      <c r="BB19" t="s">
        <v>148</v>
      </c>
      <c r="BC19" t="s">
        <v>69</v>
      </c>
      <c r="BD19">
        <v>146.14599999999999</v>
      </c>
      <c r="BE19" t="s">
        <v>69</v>
      </c>
      <c r="BF19" t="s">
        <v>69</v>
      </c>
      <c r="BG19">
        <v>121</v>
      </c>
      <c r="BH19" t="s">
        <v>73</v>
      </c>
      <c r="BI19" t="s">
        <v>69</v>
      </c>
      <c r="BJ19" t="s">
        <v>71</v>
      </c>
      <c r="BK19" t="s">
        <v>69</v>
      </c>
      <c r="BL19">
        <v>89.093999999999994</v>
      </c>
      <c r="BM19" t="s">
        <v>69</v>
      </c>
      <c r="BN19" t="s">
        <v>69</v>
      </c>
      <c r="BO19">
        <v>125</v>
      </c>
      <c r="BP19" t="s">
        <v>69</v>
      </c>
      <c r="BQ19" t="s">
        <v>69</v>
      </c>
      <c r="BR19" t="s">
        <v>152</v>
      </c>
      <c r="BS19" t="s">
        <v>69</v>
      </c>
      <c r="BT19">
        <v>181.191</v>
      </c>
      <c r="BU19" t="s">
        <v>69</v>
      </c>
      <c r="BV19" t="s">
        <v>69</v>
      </c>
    </row>
    <row r="20" spans="1:74" x14ac:dyDescent="0.25">
      <c r="A20">
        <v>7</v>
      </c>
      <c r="B20" t="str">
        <f>HYPERLINK("http://www.ncbi.nlm.nih.gov/protein/XP_006150884.1","XP_006150884.1")</f>
        <v>XP_006150884.1</v>
      </c>
      <c r="C20">
        <v>59507</v>
      </c>
      <c r="D20" t="str">
        <f>HYPERLINK("http://www.ncbi.nlm.nih.gov/Taxonomy/Browser/wwwtax.cgi?mode=Info&amp;id=246437&amp;lvl=3&amp;lin=f&amp;keep=1&amp;srchmode=1&amp;unlock","246437")</f>
        <v>246437</v>
      </c>
      <c r="E20" t="s">
        <v>66</v>
      </c>
      <c r="F20" t="str">
        <f>HYPERLINK("http://www.ncbi.nlm.nih.gov/Taxonomy/Browser/wwwtax.cgi?mode=Info&amp;id=246437&amp;lvl=3&amp;lin=f&amp;keep=1&amp;srchmode=1&amp;unlock","Tupaia chinensis")</f>
        <v>Tupaia chinensis</v>
      </c>
      <c r="G20" t="s">
        <v>97</v>
      </c>
      <c r="H20" t="str">
        <f>HYPERLINK("http://www.ncbi.nlm.nih.gov/protein/XP_006150884.1","ras GTPase-activating protein-binding protein 1 isoform X1")</f>
        <v>ras GTPase-activating protein-binding protein 1 isoform X1</v>
      </c>
      <c r="I20" t="s">
        <v>259</v>
      </c>
      <c r="J20" t="s">
        <v>69</v>
      </c>
      <c r="K20">
        <v>18</v>
      </c>
      <c r="L20" t="s">
        <v>146</v>
      </c>
      <c r="M20" t="s">
        <v>69</v>
      </c>
      <c r="N20" t="s">
        <v>71</v>
      </c>
      <c r="O20" t="s">
        <v>69</v>
      </c>
      <c r="P20">
        <v>115.13200000000001</v>
      </c>
      <c r="Q20" t="s">
        <v>69</v>
      </c>
      <c r="R20" t="s">
        <v>69</v>
      </c>
      <c r="S20">
        <v>22</v>
      </c>
      <c r="T20" t="s">
        <v>72</v>
      </c>
      <c r="U20" t="s">
        <v>69</v>
      </c>
      <c r="V20" t="s">
        <v>71</v>
      </c>
      <c r="W20" t="s">
        <v>69</v>
      </c>
      <c r="X20">
        <v>131.17500000000001</v>
      </c>
      <c r="Y20" t="s">
        <v>69</v>
      </c>
      <c r="Z20" t="s">
        <v>69</v>
      </c>
      <c r="AA20">
        <v>23</v>
      </c>
      <c r="AB20" t="s">
        <v>115</v>
      </c>
      <c r="AC20" t="s">
        <v>69</v>
      </c>
      <c r="AD20" t="s">
        <v>71</v>
      </c>
      <c r="AE20" t="s">
        <v>69</v>
      </c>
      <c r="AF20">
        <v>117.148</v>
      </c>
      <c r="AG20" t="s">
        <v>69</v>
      </c>
      <c r="AH20" t="s">
        <v>69</v>
      </c>
      <c r="AI20">
        <v>26</v>
      </c>
      <c r="AJ20" t="s">
        <v>119</v>
      </c>
      <c r="AK20" t="s">
        <v>69</v>
      </c>
      <c r="AL20" t="s">
        <v>120</v>
      </c>
      <c r="AM20" t="s">
        <v>69</v>
      </c>
      <c r="AN20">
        <v>147.131</v>
      </c>
      <c r="AO20" t="s">
        <v>69</v>
      </c>
      <c r="AP20" t="s">
        <v>69</v>
      </c>
      <c r="AQ20">
        <v>45</v>
      </c>
      <c r="AR20" t="s">
        <v>151</v>
      </c>
      <c r="AS20" t="s">
        <v>69</v>
      </c>
      <c r="AT20" t="s">
        <v>152</v>
      </c>
      <c r="AU20" t="s">
        <v>69</v>
      </c>
      <c r="AV20">
        <v>165.19200000000001</v>
      </c>
      <c r="AW20" t="s">
        <v>69</v>
      </c>
      <c r="AX20" t="s">
        <v>69</v>
      </c>
      <c r="AY20">
        <v>70</v>
      </c>
      <c r="AZ20" t="s">
        <v>147</v>
      </c>
      <c r="BA20" t="s">
        <v>69</v>
      </c>
      <c r="BB20" t="s">
        <v>148</v>
      </c>
      <c r="BC20" t="s">
        <v>69</v>
      </c>
      <c r="BD20">
        <v>146.14599999999999</v>
      </c>
      <c r="BE20" t="s">
        <v>69</v>
      </c>
      <c r="BF20" t="s">
        <v>69</v>
      </c>
      <c r="BG20">
        <v>133</v>
      </c>
      <c r="BH20" t="s">
        <v>73</v>
      </c>
      <c r="BI20" t="s">
        <v>69</v>
      </c>
      <c r="BJ20" t="s">
        <v>71</v>
      </c>
      <c r="BK20" t="s">
        <v>69</v>
      </c>
      <c r="BL20">
        <v>89.093999999999994</v>
      </c>
      <c r="BM20" t="s">
        <v>69</v>
      </c>
      <c r="BN20" t="s">
        <v>69</v>
      </c>
      <c r="BO20">
        <v>137</v>
      </c>
      <c r="BP20" t="s">
        <v>69</v>
      </c>
      <c r="BQ20" t="s">
        <v>69</v>
      </c>
      <c r="BR20" t="s">
        <v>152</v>
      </c>
      <c r="BS20" t="s">
        <v>69</v>
      </c>
      <c r="BT20">
        <v>181.191</v>
      </c>
      <c r="BU20" t="s">
        <v>69</v>
      </c>
      <c r="BV20" t="s">
        <v>69</v>
      </c>
    </row>
    <row r="21" spans="1:74" x14ac:dyDescent="0.25">
      <c r="A21">
        <v>7</v>
      </c>
      <c r="B21" t="str">
        <f>HYPERLINK("http://www.ncbi.nlm.nih.gov/protein/XP_044086922.1","XP_044086922.1")</f>
        <v>XP_044086922.1</v>
      </c>
      <c r="C21">
        <v>44640</v>
      </c>
      <c r="D21" t="str">
        <f>HYPERLINK("http://www.ncbi.nlm.nih.gov/Taxonomy/Browser/wwwtax.cgi?mode=Info&amp;id=452646&amp;lvl=3&amp;lin=f&amp;keep=1&amp;srchmode=1&amp;unlock","452646")</f>
        <v>452646</v>
      </c>
      <c r="E21" t="s">
        <v>66</v>
      </c>
      <c r="F21" t="str">
        <f>HYPERLINK("http://www.ncbi.nlm.nih.gov/Taxonomy/Browser/wwwtax.cgi?mode=Info&amp;id=452646&amp;lvl=3&amp;lin=f&amp;keep=1&amp;srchmode=1&amp;unlock","Neogale vison")</f>
        <v>Neogale vison</v>
      </c>
      <c r="G21" t="s">
        <v>96</v>
      </c>
      <c r="H21" t="str">
        <f>HYPERLINK("http://www.ncbi.nlm.nih.gov/protein/XP_044086922.1","ras GTPase-activating protein-binding protein 1")</f>
        <v>ras GTPase-activating protein-binding protein 1</v>
      </c>
      <c r="I21" t="s">
        <v>259</v>
      </c>
      <c r="J21" t="s">
        <v>69</v>
      </c>
      <c r="K21">
        <v>6</v>
      </c>
      <c r="L21" t="s">
        <v>146</v>
      </c>
      <c r="M21" t="s">
        <v>69</v>
      </c>
      <c r="N21" t="s">
        <v>71</v>
      </c>
      <c r="O21" t="s">
        <v>69</v>
      </c>
      <c r="P21">
        <v>115.13200000000001</v>
      </c>
      <c r="Q21" t="s">
        <v>69</v>
      </c>
      <c r="R21" t="s">
        <v>69</v>
      </c>
      <c r="S21">
        <v>10</v>
      </c>
      <c r="T21" t="s">
        <v>72</v>
      </c>
      <c r="U21" t="s">
        <v>69</v>
      </c>
      <c r="V21" t="s">
        <v>71</v>
      </c>
      <c r="W21" t="s">
        <v>69</v>
      </c>
      <c r="X21">
        <v>131.17500000000001</v>
      </c>
      <c r="Y21" t="s">
        <v>69</v>
      </c>
      <c r="Z21" t="s">
        <v>69</v>
      </c>
      <c r="AA21">
        <v>11</v>
      </c>
      <c r="AB21" t="s">
        <v>115</v>
      </c>
      <c r="AC21" t="s">
        <v>69</v>
      </c>
      <c r="AD21" t="s">
        <v>71</v>
      </c>
      <c r="AE21" t="s">
        <v>69</v>
      </c>
      <c r="AF21">
        <v>117.148</v>
      </c>
      <c r="AG21" t="s">
        <v>69</v>
      </c>
      <c r="AH21" t="s">
        <v>69</v>
      </c>
      <c r="AI21">
        <v>14</v>
      </c>
      <c r="AJ21" t="s">
        <v>119</v>
      </c>
      <c r="AK21" t="s">
        <v>69</v>
      </c>
      <c r="AL21" t="s">
        <v>120</v>
      </c>
      <c r="AM21" t="s">
        <v>69</v>
      </c>
      <c r="AN21">
        <v>147.131</v>
      </c>
      <c r="AO21" t="s">
        <v>69</v>
      </c>
      <c r="AP21" t="s">
        <v>69</v>
      </c>
      <c r="AQ21">
        <v>33</v>
      </c>
      <c r="AR21" t="s">
        <v>151</v>
      </c>
      <c r="AS21" t="s">
        <v>69</v>
      </c>
      <c r="AT21" t="s">
        <v>152</v>
      </c>
      <c r="AU21" t="s">
        <v>69</v>
      </c>
      <c r="AV21">
        <v>165.19200000000001</v>
      </c>
      <c r="AW21" t="s">
        <v>69</v>
      </c>
      <c r="AX21" t="s">
        <v>69</v>
      </c>
      <c r="AY21">
        <v>58</v>
      </c>
      <c r="AZ21" t="s">
        <v>147</v>
      </c>
      <c r="BA21" t="s">
        <v>69</v>
      </c>
      <c r="BB21" t="s">
        <v>148</v>
      </c>
      <c r="BC21" t="s">
        <v>69</v>
      </c>
      <c r="BD21">
        <v>146.14599999999999</v>
      </c>
      <c r="BE21" t="s">
        <v>69</v>
      </c>
      <c r="BF21" t="s">
        <v>69</v>
      </c>
      <c r="BG21">
        <v>121</v>
      </c>
      <c r="BH21" t="s">
        <v>73</v>
      </c>
      <c r="BI21" t="s">
        <v>69</v>
      </c>
      <c r="BJ21" t="s">
        <v>71</v>
      </c>
      <c r="BK21" t="s">
        <v>69</v>
      </c>
      <c r="BL21">
        <v>89.093999999999994</v>
      </c>
      <c r="BM21" t="s">
        <v>69</v>
      </c>
      <c r="BN21" t="s">
        <v>69</v>
      </c>
      <c r="BO21">
        <v>125</v>
      </c>
      <c r="BP21" t="s">
        <v>69</v>
      </c>
      <c r="BQ21" t="s">
        <v>69</v>
      </c>
      <c r="BR21" t="s">
        <v>152</v>
      </c>
      <c r="BS21" t="s">
        <v>69</v>
      </c>
      <c r="BT21">
        <v>181.191</v>
      </c>
      <c r="BU21" t="s">
        <v>69</v>
      </c>
      <c r="BV21" t="s">
        <v>69</v>
      </c>
    </row>
    <row r="22" spans="1:74" x14ac:dyDescent="0.25">
      <c r="A22">
        <v>7</v>
      </c>
      <c r="B22" t="str">
        <f>HYPERLINK("http://www.ncbi.nlm.nih.gov/protein/XP_004737832.1","XP_004737832.1")</f>
        <v>XP_004737832.1</v>
      </c>
      <c r="C22">
        <v>58003</v>
      </c>
      <c r="D22" t="str">
        <f>HYPERLINK("http://www.ncbi.nlm.nih.gov/Taxonomy/Browser/wwwtax.cgi?mode=Info&amp;id=9669&amp;lvl=3&amp;lin=f&amp;keep=1&amp;srchmode=1&amp;unlock","9669")</f>
        <v>9669</v>
      </c>
      <c r="E22" t="s">
        <v>66</v>
      </c>
      <c r="F22" t="str">
        <f>HYPERLINK("http://www.ncbi.nlm.nih.gov/Taxonomy/Browser/wwwtax.cgi?mode=Info&amp;id=9669&amp;lvl=3&amp;lin=f&amp;keep=1&amp;srchmode=1&amp;unlock","Mustela putorius furo")</f>
        <v>Mustela putorius furo</v>
      </c>
      <c r="G22" t="s">
        <v>98</v>
      </c>
      <c r="H22" t="str">
        <f>HYPERLINK("http://www.ncbi.nlm.nih.gov/protein/XP_004737832.1","ras GTPase-activating protein-binding protein 1")</f>
        <v>ras GTPase-activating protein-binding protein 1</v>
      </c>
      <c r="I22" t="s">
        <v>259</v>
      </c>
      <c r="J22" t="s">
        <v>69</v>
      </c>
      <c r="K22">
        <v>6</v>
      </c>
      <c r="L22" t="s">
        <v>146</v>
      </c>
      <c r="M22" t="s">
        <v>69</v>
      </c>
      <c r="N22" t="s">
        <v>71</v>
      </c>
      <c r="O22" t="s">
        <v>69</v>
      </c>
      <c r="P22">
        <v>115.13200000000001</v>
      </c>
      <c r="Q22" t="s">
        <v>69</v>
      </c>
      <c r="R22" t="s">
        <v>69</v>
      </c>
      <c r="S22">
        <v>10</v>
      </c>
      <c r="T22" t="s">
        <v>72</v>
      </c>
      <c r="U22" t="s">
        <v>69</v>
      </c>
      <c r="V22" t="s">
        <v>71</v>
      </c>
      <c r="W22" t="s">
        <v>69</v>
      </c>
      <c r="X22">
        <v>131.17500000000001</v>
      </c>
      <c r="Y22" t="s">
        <v>69</v>
      </c>
      <c r="Z22" t="s">
        <v>69</v>
      </c>
      <c r="AA22">
        <v>11</v>
      </c>
      <c r="AB22" t="s">
        <v>115</v>
      </c>
      <c r="AC22" t="s">
        <v>69</v>
      </c>
      <c r="AD22" t="s">
        <v>71</v>
      </c>
      <c r="AE22" t="s">
        <v>69</v>
      </c>
      <c r="AF22">
        <v>117.148</v>
      </c>
      <c r="AG22" t="s">
        <v>69</v>
      </c>
      <c r="AH22" t="s">
        <v>69</v>
      </c>
      <c r="AI22">
        <v>14</v>
      </c>
      <c r="AJ22" t="s">
        <v>119</v>
      </c>
      <c r="AK22" t="s">
        <v>69</v>
      </c>
      <c r="AL22" t="s">
        <v>120</v>
      </c>
      <c r="AM22" t="s">
        <v>69</v>
      </c>
      <c r="AN22">
        <v>147.131</v>
      </c>
      <c r="AO22" t="s">
        <v>69</v>
      </c>
      <c r="AP22" t="s">
        <v>69</v>
      </c>
      <c r="AQ22">
        <v>33</v>
      </c>
      <c r="AR22" t="s">
        <v>151</v>
      </c>
      <c r="AS22" t="s">
        <v>69</v>
      </c>
      <c r="AT22" t="s">
        <v>152</v>
      </c>
      <c r="AU22" t="s">
        <v>69</v>
      </c>
      <c r="AV22">
        <v>165.19200000000001</v>
      </c>
      <c r="AW22" t="s">
        <v>69</v>
      </c>
      <c r="AX22" t="s">
        <v>69</v>
      </c>
      <c r="AY22">
        <v>58</v>
      </c>
      <c r="AZ22" t="s">
        <v>147</v>
      </c>
      <c r="BA22" t="s">
        <v>69</v>
      </c>
      <c r="BB22" t="s">
        <v>148</v>
      </c>
      <c r="BC22" t="s">
        <v>69</v>
      </c>
      <c r="BD22">
        <v>146.14599999999999</v>
      </c>
      <c r="BE22" t="s">
        <v>69</v>
      </c>
      <c r="BF22" t="s">
        <v>69</v>
      </c>
      <c r="BG22">
        <v>121</v>
      </c>
      <c r="BH22" t="s">
        <v>73</v>
      </c>
      <c r="BI22" t="s">
        <v>69</v>
      </c>
      <c r="BJ22" t="s">
        <v>71</v>
      </c>
      <c r="BK22" t="s">
        <v>69</v>
      </c>
      <c r="BL22">
        <v>89.093999999999994</v>
      </c>
      <c r="BM22" t="s">
        <v>69</v>
      </c>
      <c r="BN22" t="s">
        <v>69</v>
      </c>
      <c r="BO22">
        <v>125</v>
      </c>
      <c r="BP22" t="s">
        <v>69</v>
      </c>
      <c r="BQ22" t="s">
        <v>69</v>
      </c>
      <c r="BR22" t="s">
        <v>152</v>
      </c>
      <c r="BS22" t="s">
        <v>69</v>
      </c>
      <c r="BT22">
        <v>181.191</v>
      </c>
      <c r="BU22" t="s">
        <v>69</v>
      </c>
      <c r="BV22" t="s">
        <v>69</v>
      </c>
    </row>
    <row r="23" spans="1:74" x14ac:dyDescent="0.25">
      <c r="A23">
        <v>7</v>
      </c>
      <c r="B23" t="str">
        <f>HYPERLINK("http://www.ncbi.nlm.nih.gov/protein/XP_005209702.1","XP_005209702.1")</f>
        <v>XP_005209702.1</v>
      </c>
      <c r="C23">
        <v>136186</v>
      </c>
      <c r="D23" t="str">
        <f>HYPERLINK("http://www.ncbi.nlm.nih.gov/Taxonomy/Browser/wwwtax.cgi?mode=Info&amp;id=9913&amp;lvl=3&amp;lin=f&amp;keep=1&amp;srchmode=1&amp;unlock","9913")</f>
        <v>9913</v>
      </c>
      <c r="E23" t="s">
        <v>66</v>
      </c>
      <c r="F23" t="str">
        <f>HYPERLINK("http://www.ncbi.nlm.nih.gov/Taxonomy/Browser/wwwtax.cgi?mode=Info&amp;id=9913&amp;lvl=3&amp;lin=f&amp;keep=1&amp;srchmode=1&amp;unlock","Bos taurus")</f>
        <v>Bos taurus</v>
      </c>
      <c r="G23" t="s">
        <v>82</v>
      </c>
      <c r="H23" t="str">
        <f>HYPERLINK("http://www.ncbi.nlm.nih.gov/protein/XP_005209702.1","ras GTPase-activating protein-binding protein 1 isoform X1")</f>
        <v>ras GTPase-activating protein-binding protein 1 isoform X1</v>
      </c>
      <c r="I23" t="s">
        <v>259</v>
      </c>
      <c r="J23" t="s">
        <v>69</v>
      </c>
      <c r="K23">
        <v>45</v>
      </c>
      <c r="L23" t="s">
        <v>146</v>
      </c>
      <c r="M23" t="s">
        <v>69</v>
      </c>
      <c r="N23" t="s">
        <v>71</v>
      </c>
      <c r="O23" t="s">
        <v>69</v>
      </c>
      <c r="P23">
        <v>115.13200000000001</v>
      </c>
      <c r="Q23" t="s">
        <v>69</v>
      </c>
      <c r="R23" t="s">
        <v>69</v>
      </c>
      <c r="S23">
        <v>49</v>
      </c>
      <c r="T23" t="s">
        <v>72</v>
      </c>
      <c r="U23" t="s">
        <v>69</v>
      </c>
      <c r="V23" t="s">
        <v>71</v>
      </c>
      <c r="W23" t="s">
        <v>69</v>
      </c>
      <c r="X23">
        <v>131.17500000000001</v>
      </c>
      <c r="Y23" t="s">
        <v>69</v>
      </c>
      <c r="Z23" t="s">
        <v>69</v>
      </c>
      <c r="AA23">
        <v>50</v>
      </c>
      <c r="AB23" t="s">
        <v>115</v>
      </c>
      <c r="AC23" t="s">
        <v>69</v>
      </c>
      <c r="AD23" t="s">
        <v>71</v>
      </c>
      <c r="AE23" t="s">
        <v>69</v>
      </c>
      <c r="AF23">
        <v>117.148</v>
      </c>
      <c r="AG23" t="s">
        <v>69</v>
      </c>
      <c r="AH23" t="s">
        <v>69</v>
      </c>
      <c r="AI23">
        <v>53</v>
      </c>
      <c r="AJ23" t="s">
        <v>119</v>
      </c>
      <c r="AK23" t="s">
        <v>69</v>
      </c>
      <c r="AL23" t="s">
        <v>120</v>
      </c>
      <c r="AM23" t="s">
        <v>69</v>
      </c>
      <c r="AN23">
        <v>147.131</v>
      </c>
      <c r="AO23" t="s">
        <v>69</v>
      </c>
      <c r="AP23" t="s">
        <v>69</v>
      </c>
      <c r="AQ23">
        <v>72</v>
      </c>
      <c r="AR23" t="s">
        <v>151</v>
      </c>
      <c r="AS23" t="s">
        <v>69</v>
      </c>
      <c r="AT23" t="s">
        <v>152</v>
      </c>
      <c r="AU23" t="s">
        <v>69</v>
      </c>
      <c r="AV23">
        <v>165.19200000000001</v>
      </c>
      <c r="AW23" t="s">
        <v>69</v>
      </c>
      <c r="AX23" t="s">
        <v>69</v>
      </c>
      <c r="AY23">
        <v>97</v>
      </c>
      <c r="AZ23" t="s">
        <v>147</v>
      </c>
      <c r="BA23" t="s">
        <v>69</v>
      </c>
      <c r="BB23" t="s">
        <v>148</v>
      </c>
      <c r="BC23" t="s">
        <v>69</v>
      </c>
      <c r="BD23">
        <v>146.14599999999999</v>
      </c>
      <c r="BE23" t="s">
        <v>69</v>
      </c>
      <c r="BF23" t="s">
        <v>69</v>
      </c>
      <c r="BG23">
        <v>160</v>
      </c>
      <c r="BH23" t="s">
        <v>73</v>
      </c>
      <c r="BI23" t="s">
        <v>69</v>
      </c>
      <c r="BJ23" t="s">
        <v>71</v>
      </c>
      <c r="BK23" t="s">
        <v>69</v>
      </c>
      <c r="BL23">
        <v>89.093999999999994</v>
      </c>
      <c r="BM23" t="s">
        <v>69</v>
      </c>
      <c r="BN23" t="s">
        <v>69</v>
      </c>
      <c r="BO23">
        <v>164</v>
      </c>
      <c r="BP23" t="s">
        <v>69</v>
      </c>
      <c r="BQ23" t="s">
        <v>69</v>
      </c>
      <c r="BR23" t="s">
        <v>152</v>
      </c>
      <c r="BS23" t="s">
        <v>69</v>
      </c>
      <c r="BT23">
        <v>181.191</v>
      </c>
      <c r="BU23" t="s">
        <v>69</v>
      </c>
      <c r="BV23" t="s">
        <v>69</v>
      </c>
    </row>
    <row r="24" spans="1:74" x14ac:dyDescent="0.25">
      <c r="A24">
        <v>7</v>
      </c>
      <c r="B24" t="str">
        <f>HYPERLINK("http://www.ncbi.nlm.nih.gov/protein/KAF6446779.1","KAF6446779.1")</f>
        <v>KAF6446779.1</v>
      </c>
      <c r="C24">
        <v>117142</v>
      </c>
      <c r="D24" t="str">
        <f>HYPERLINK("http://www.ncbi.nlm.nih.gov/Taxonomy/Browser/wwwtax.cgi?mode=Info&amp;id=9407&amp;lvl=3&amp;lin=f&amp;keep=1&amp;srchmode=1&amp;unlock","9407")</f>
        <v>9407</v>
      </c>
      <c r="E24" t="s">
        <v>66</v>
      </c>
      <c r="F24" t="str">
        <f>HYPERLINK("http://www.ncbi.nlm.nih.gov/Taxonomy/Browser/wwwtax.cgi?mode=Info&amp;id=9407&amp;lvl=3&amp;lin=f&amp;keep=1&amp;srchmode=1&amp;unlock","Rousettus aegyptiacus")</f>
        <v>Rousettus aegyptiacus</v>
      </c>
      <c r="G24" t="s">
        <v>103</v>
      </c>
      <c r="H24" t="str">
        <f>HYPERLINK("http://www.ncbi.nlm.nih.gov/protein/KAF6446779.1","G3BP stress granule assembly factor 1")</f>
        <v>G3BP stress granule assembly factor 1</v>
      </c>
      <c r="I24" t="s">
        <v>259</v>
      </c>
      <c r="J24" t="s">
        <v>69</v>
      </c>
      <c r="K24">
        <v>44</v>
      </c>
      <c r="L24" t="s">
        <v>146</v>
      </c>
      <c r="M24" t="s">
        <v>69</v>
      </c>
      <c r="N24" t="s">
        <v>71</v>
      </c>
      <c r="O24" t="s">
        <v>69</v>
      </c>
      <c r="P24">
        <v>115.13200000000001</v>
      </c>
      <c r="Q24" t="s">
        <v>69</v>
      </c>
      <c r="R24" t="s">
        <v>69</v>
      </c>
      <c r="S24">
        <v>48</v>
      </c>
      <c r="T24" t="s">
        <v>72</v>
      </c>
      <c r="U24" t="s">
        <v>69</v>
      </c>
      <c r="V24" t="s">
        <v>71</v>
      </c>
      <c r="W24" t="s">
        <v>69</v>
      </c>
      <c r="X24">
        <v>131.17500000000001</v>
      </c>
      <c r="Y24" t="s">
        <v>69</v>
      </c>
      <c r="Z24" t="s">
        <v>69</v>
      </c>
      <c r="AA24">
        <v>49</v>
      </c>
      <c r="AB24" t="s">
        <v>115</v>
      </c>
      <c r="AC24" t="s">
        <v>69</v>
      </c>
      <c r="AD24" t="s">
        <v>71</v>
      </c>
      <c r="AE24" t="s">
        <v>69</v>
      </c>
      <c r="AF24">
        <v>117.148</v>
      </c>
      <c r="AG24" t="s">
        <v>69</v>
      </c>
      <c r="AH24" t="s">
        <v>69</v>
      </c>
      <c r="AI24">
        <v>52</v>
      </c>
      <c r="AJ24" t="s">
        <v>119</v>
      </c>
      <c r="AK24" t="s">
        <v>69</v>
      </c>
      <c r="AL24" t="s">
        <v>120</v>
      </c>
      <c r="AM24" t="s">
        <v>69</v>
      </c>
      <c r="AN24">
        <v>147.131</v>
      </c>
      <c r="AO24" t="s">
        <v>69</v>
      </c>
      <c r="AP24" t="s">
        <v>69</v>
      </c>
      <c r="AQ24">
        <v>71</v>
      </c>
      <c r="AR24" t="s">
        <v>151</v>
      </c>
      <c r="AS24" t="s">
        <v>69</v>
      </c>
      <c r="AT24" t="s">
        <v>152</v>
      </c>
      <c r="AU24" t="s">
        <v>69</v>
      </c>
      <c r="AV24">
        <v>165.19200000000001</v>
      </c>
      <c r="AW24" t="s">
        <v>69</v>
      </c>
      <c r="AX24" t="s">
        <v>69</v>
      </c>
      <c r="AY24">
        <v>96</v>
      </c>
      <c r="AZ24" t="s">
        <v>147</v>
      </c>
      <c r="BA24" t="s">
        <v>69</v>
      </c>
      <c r="BB24" t="s">
        <v>148</v>
      </c>
      <c r="BC24" t="s">
        <v>69</v>
      </c>
      <c r="BD24">
        <v>146.14599999999999</v>
      </c>
      <c r="BE24" t="s">
        <v>69</v>
      </c>
      <c r="BF24" t="s">
        <v>69</v>
      </c>
      <c r="BG24">
        <v>159</v>
      </c>
      <c r="BH24" t="s">
        <v>73</v>
      </c>
      <c r="BI24" t="s">
        <v>69</v>
      </c>
      <c r="BJ24" t="s">
        <v>71</v>
      </c>
      <c r="BK24" t="s">
        <v>69</v>
      </c>
      <c r="BL24">
        <v>89.093999999999994</v>
      </c>
      <c r="BM24" t="s">
        <v>69</v>
      </c>
      <c r="BN24" t="s">
        <v>69</v>
      </c>
      <c r="BO24">
        <v>163</v>
      </c>
      <c r="BP24" t="s">
        <v>69</v>
      </c>
      <c r="BQ24" t="s">
        <v>69</v>
      </c>
      <c r="BR24" t="s">
        <v>152</v>
      </c>
      <c r="BS24" t="s">
        <v>69</v>
      </c>
      <c r="BT24">
        <v>181.191</v>
      </c>
      <c r="BU24" t="s">
        <v>69</v>
      </c>
      <c r="BV24" t="s">
        <v>69</v>
      </c>
    </row>
    <row r="25" spans="1:74" x14ac:dyDescent="0.25">
      <c r="A25">
        <v>7</v>
      </c>
      <c r="B25" t="str">
        <f>HYPERLINK("http://www.ncbi.nlm.nih.gov/protein/NP_001192334.1","NP_001192334.1")</f>
        <v>NP_001192334.1</v>
      </c>
      <c r="C25">
        <v>86952</v>
      </c>
      <c r="D25" t="str">
        <f>HYPERLINK("http://www.ncbi.nlm.nih.gov/Taxonomy/Browser/wwwtax.cgi?mode=Info&amp;id=9823&amp;lvl=3&amp;lin=f&amp;keep=1&amp;srchmode=1&amp;unlock","9823")</f>
        <v>9823</v>
      </c>
      <c r="E25" t="s">
        <v>66</v>
      </c>
      <c r="F25" t="str">
        <f>HYPERLINK("http://www.ncbi.nlm.nih.gov/Taxonomy/Browser/wwwtax.cgi?mode=Info&amp;id=9823&amp;lvl=3&amp;lin=f&amp;keep=1&amp;srchmode=1&amp;unlock","Sus scrofa")</f>
        <v>Sus scrofa</v>
      </c>
      <c r="G25" t="s">
        <v>85</v>
      </c>
      <c r="H25" t="str">
        <f>HYPERLINK("http://www.ncbi.nlm.nih.gov/protein/NP_001192334.1","ras GTPase-activating protein-binding protein 1")</f>
        <v>ras GTPase-activating protein-binding protein 1</v>
      </c>
      <c r="I25" t="s">
        <v>259</v>
      </c>
      <c r="J25" t="s">
        <v>69</v>
      </c>
      <c r="K25">
        <v>6</v>
      </c>
      <c r="L25" t="s">
        <v>146</v>
      </c>
      <c r="M25" t="s">
        <v>69</v>
      </c>
      <c r="N25" t="s">
        <v>71</v>
      </c>
      <c r="O25" t="s">
        <v>69</v>
      </c>
      <c r="P25">
        <v>115.13200000000001</v>
      </c>
      <c r="Q25" t="s">
        <v>69</v>
      </c>
      <c r="R25" t="s">
        <v>69</v>
      </c>
      <c r="S25">
        <v>10</v>
      </c>
      <c r="T25" t="s">
        <v>72</v>
      </c>
      <c r="U25" t="s">
        <v>69</v>
      </c>
      <c r="V25" t="s">
        <v>71</v>
      </c>
      <c r="W25" t="s">
        <v>69</v>
      </c>
      <c r="X25">
        <v>131.17500000000001</v>
      </c>
      <c r="Y25" t="s">
        <v>69</v>
      </c>
      <c r="Z25" t="s">
        <v>69</v>
      </c>
      <c r="AA25">
        <v>11</v>
      </c>
      <c r="AB25" t="s">
        <v>115</v>
      </c>
      <c r="AC25" t="s">
        <v>69</v>
      </c>
      <c r="AD25" t="s">
        <v>71</v>
      </c>
      <c r="AE25" t="s">
        <v>69</v>
      </c>
      <c r="AF25">
        <v>117.148</v>
      </c>
      <c r="AG25" t="s">
        <v>69</v>
      </c>
      <c r="AH25" t="s">
        <v>69</v>
      </c>
      <c r="AI25">
        <v>14</v>
      </c>
      <c r="AJ25" t="s">
        <v>119</v>
      </c>
      <c r="AK25" t="s">
        <v>69</v>
      </c>
      <c r="AL25" t="s">
        <v>120</v>
      </c>
      <c r="AM25" t="s">
        <v>69</v>
      </c>
      <c r="AN25">
        <v>147.131</v>
      </c>
      <c r="AO25" t="s">
        <v>69</v>
      </c>
      <c r="AP25" t="s">
        <v>69</v>
      </c>
      <c r="AQ25">
        <v>33</v>
      </c>
      <c r="AR25" t="s">
        <v>151</v>
      </c>
      <c r="AS25" t="s">
        <v>69</v>
      </c>
      <c r="AT25" t="s">
        <v>152</v>
      </c>
      <c r="AU25" t="s">
        <v>69</v>
      </c>
      <c r="AV25">
        <v>165.19200000000001</v>
      </c>
      <c r="AW25" t="s">
        <v>69</v>
      </c>
      <c r="AX25" t="s">
        <v>69</v>
      </c>
      <c r="AY25">
        <v>58</v>
      </c>
      <c r="AZ25" t="s">
        <v>147</v>
      </c>
      <c r="BA25" t="s">
        <v>69</v>
      </c>
      <c r="BB25" t="s">
        <v>148</v>
      </c>
      <c r="BC25" t="s">
        <v>69</v>
      </c>
      <c r="BD25">
        <v>146.14599999999999</v>
      </c>
      <c r="BE25" t="s">
        <v>69</v>
      </c>
      <c r="BF25" t="s">
        <v>69</v>
      </c>
      <c r="BG25">
        <v>121</v>
      </c>
      <c r="BH25" t="s">
        <v>73</v>
      </c>
      <c r="BI25" t="s">
        <v>69</v>
      </c>
      <c r="BJ25" t="s">
        <v>71</v>
      </c>
      <c r="BK25" t="s">
        <v>69</v>
      </c>
      <c r="BL25">
        <v>89.093999999999994</v>
      </c>
      <c r="BM25" t="s">
        <v>69</v>
      </c>
      <c r="BN25" t="s">
        <v>69</v>
      </c>
      <c r="BO25">
        <v>125</v>
      </c>
      <c r="BP25" t="s">
        <v>69</v>
      </c>
      <c r="BQ25" t="s">
        <v>69</v>
      </c>
      <c r="BR25" t="s">
        <v>152</v>
      </c>
      <c r="BS25" t="s">
        <v>69</v>
      </c>
      <c r="BT25">
        <v>181.191</v>
      </c>
      <c r="BU25" t="s">
        <v>69</v>
      </c>
      <c r="BV25" t="s">
        <v>69</v>
      </c>
    </row>
    <row r="26" spans="1:74" x14ac:dyDescent="0.25">
      <c r="A26">
        <v>7</v>
      </c>
      <c r="B26" t="str">
        <f>HYPERLINK("http://www.ncbi.nlm.nih.gov/protein/XP_020736580.1","XP_020736580.1")</f>
        <v>XP_020736580.1</v>
      </c>
      <c r="C26">
        <v>48218</v>
      </c>
      <c r="D26" t="str">
        <f>HYPERLINK("http://www.ncbi.nlm.nih.gov/Taxonomy/Browser/wwwtax.cgi?mode=Info&amp;id=9880&amp;lvl=3&amp;lin=f&amp;keep=1&amp;srchmode=1&amp;unlock","9880")</f>
        <v>9880</v>
      </c>
      <c r="E26" t="s">
        <v>66</v>
      </c>
      <c r="F26" t="str">
        <f>HYPERLINK("http://www.ncbi.nlm.nih.gov/Taxonomy/Browser/wwwtax.cgi?mode=Info&amp;id=9880&amp;lvl=3&amp;lin=f&amp;keep=1&amp;srchmode=1&amp;unlock","Odocoileus virginianus texanus")</f>
        <v>Odocoileus virginianus texanus</v>
      </c>
      <c r="G26" t="s">
        <v>81</v>
      </c>
      <c r="H26" t="str">
        <f>HYPERLINK("http://www.ncbi.nlm.nih.gov/protein/XP_020736580.1","ras GTPase-activating protein-binding protein 1 isoform X1")</f>
        <v>ras GTPase-activating protein-binding protein 1 isoform X1</v>
      </c>
      <c r="I26" t="s">
        <v>259</v>
      </c>
      <c r="J26" t="s">
        <v>69</v>
      </c>
      <c r="K26">
        <v>45</v>
      </c>
      <c r="L26" t="s">
        <v>146</v>
      </c>
      <c r="M26" t="s">
        <v>69</v>
      </c>
      <c r="N26" t="s">
        <v>71</v>
      </c>
      <c r="O26" t="s">
        <v>69</v>
      </c>
      <c r="P26">
        <v>115.13200000000001</v>
      </c>
      <c r="Q26" t="s">
        <v>69</v>
      </c>
      <c r="R26" t="s">
        <v>69</v>
      </c>
      <c r="S26">
        <v>49</v>
      </c>
      <c r="T26" t="s">
        <v>72</v>
      </c>
      <c r="U26" t="s">
        <v>69</v>
      </c>
      <c r="V26" t="s">
        <v>71</v>
      </c>
      <c r="W26" t="s">
        <v>69</v>
      </c>
      <c r="X26">
        <v>131.17500000000001</v>
      </c>
      <c r="Y26" t="s">
        <v>69</v>
      </c>
      <c r="Z26" t="s">
        <v>69</v>
      </c>
      <c r="AA26">
        <v>50</v>
      </c>
      <c r="AB26" t="s">
        <v>115</v>
      </c>
      <c r="AC26" t="s">
        <v>69</v>
      </c>
      <c r="AD26" t="s">
        <v>71</v>
      </c>
      <c r="AE26" t="s">
        <v>69</v>
      </c>
      <c r="AF26">
        <v>117.148</v>
      </c>
      <c r="AG26" t="s">
        <v>69</v>
      </c>
      <c r="AH26" t="s">
        <v>69</v>
      </c>
      <c r="AI26">
        <v>53</v>
      </c>
      <c r="AJ26" t="s">
        <v>119</v>
      </c>
      <c r="AK26" t="s">
        <v>69</v>
      </c>
      <c r="AL26" t="s">
        <v>120</v>
      </c>
      <c r="AM26" t="s">
        <v>69</v>
      </c>
      <c r="AN26">
        <v>147.131</v>
      </c>
      <c r="AO26" t="s">
        <v>69</v>
      </c>
      <c r="AP26" t="s">
        <v>69</v>
      </c>
      <c r="AQ26">
        <v>72</v>
      </c>
      <c r="AR26" t="s">
        <v>151</v>
      </c>
      <c r="AS26" t="s">
        <v>69</v>
      </c>
      <c r="AT26" t="s">
        <v>152</v>
      </c>
      <c r="AU26" t="s">
        <v>69</v>
      </c>
      <c r="AV26">
        <v>165.19200000000001</v>
      </c>
      <c r="AW26" t="s">
        <v>69</v>
      </c>
      <c r="AX26" t="s">
        <v>69</v>
      </c>
      <c r="AY26">
        <v>97</v>
      </c>
      <c r="AZ26" t="s">
        <v>147</v>
      </c>
      <c r="BA26" t="s">
        <v>69</v>
      </c>
      <c r="BB26" t="s">
        <v>148</v>
      </c>
      <c r="BC26" t="s">
        <v>69</v>
      </c>
      <c r="BD26">
        <v>146.14599999999999</v>
      </c>
      <c r="BE26" t="s">
        <v>69</v>
      </c>
      <c r="BF26" t="s">
        <v>69</v>
      </c>
      <c r="BG26">
        <v>160</v>
      </c>
      <c r="BH26" t="s">
        <v>73</v>
      </c>
      <c r="BI26" t="s">
        <v>69</v>
      </c>
      <c r="BJ26" t="s">
        <v>71</v>
      </c>
      <c r="BK26" t="s">
        <v>69</v>
      </c>
      <c r="BL26">
        <v>89.093999999999994</v>
      </c>
      <c r="BM26" t="s">
        <v>69</v>
      </c>
      <c r="BN26" t="s">
        <v>69</v>
      </c>
      <c r="BO26">
        <v>164</v>
      </c>
      <c r="BP26" t="s">
        <v>69</v>
      </c>
      <c r="BQ26" t="s">
        <v>69</v>
      </c>
      <c r="BR26" t="s">
        <v>152</v>
      </c>
      <c r="BS26" t="s">
        <v>69</v>
      </c>
      <c r="BT26">
        <v>181.191</v>
      </c>
      <c r="BU26" t="s">
        <v>69</v>
      </c>
      <c r="BV26" t="s">
        <v>69</v>
      </c>
    </row>
    <row r="27" spans="1:74" x14ac:dyDescent="0.25">
      <c r="A27">
        <v>7</v>
      </c>
      <c r="B27" t="str">
        <f>HYPERLINK("http://www.ncbi.nlm.nih.gov/protein/XP_036871715.1","XP_036871715.1")</f>
        <v>XP_036871715.1</v>
      </c>
      <c r="C27">
        <v>56064</v>
      </c>
      <c r="D27" t="str">
        <f>HYPERLINK("http://www.ncbi.nlm.nih.gov/Taxonomy/Browser/wwwtax.cgi?mode=Info&amp;id=9974&amp;lvl=3&amp;lin=f&amp;keep=1&amp;srchmode=1&amp;unlock","9974")</f>
        <v>9974</v>
      </c>
      <c r="E27" t="s">
        <v>66</v>
      </c>
      <c r="F27" t="str">
        <f>HYPERLINK("http://www.ncbi.nlm.nih.gov/Taxonomy/Browser/wwwtax.cgi?mode=Info&amp;id=9974&amp;lvl=3&amp;lin=f&amp;keep=1&amp;srchmode=1&amp;unlock","Manis javanica")</f>
        <v>Manis javanica</v>
      </c>
      <c r="G27" t="s">
        <v>100</v>
      </c>
      <c r="H27" t="str">
        <f>HYPERLINK("http://www.ncbi.nlm.nih.gov/protein/XP_036871715.1","ras GTPase-activating protein-binding protein 1 isoform X4")</f>
        <v>ras GTPase-activating protein-binding protein 1 isoform X4</v>
      </c>
      <c r="I27" t="s">
        <v>259</v>
      </c>
      <c r="J27" t="s">
        <v>69</v>
      </c>
      <c r="K27">
        <v>19</v>
      </c>
      <c r="L27" t="s">
        <v>146</v>
      </c>
      <c r="M27" t="s">
        <v>69</v>
      </c>
      <c r="N27" t="s">
        <v>71</v>
      </c>
      <c r="O27" t="s">
        <v>69</v>
      </c>
      <c r="P27">
        <v>115.13200000000001</v>
      </c>
      <c r="Q27" t="s">
        <v>69</v>
      </c>
      <c r="R27" t="s">
        <v>69</v>
      </c>
      <c r="S27">
        <v>23</v>
      </c>
      <c r="T27" t="s">
        <v>72</v>
      </c>
      <c r="U27" t="s">
        <v>69</v>
      </c>
      <c r="V27" t="s">
        <v>71</v>
      </c>
      <c r="W27" t="s">
        <v>69</v>
      </c>
      <c r="X27">
        <v>131.17500000000001</v>
      </c>
      <c r="Y27" t="s">
        <v>69</v>
      </c>
      <c r="Z27" t="s">
        <v>69</v>
      </c>
      <c r="AA27">
        <v>24</v>
      </c>
      <c r="AB27" t="s">
        <v>115</v>
      </c>
      <c r="AC27" t="s">
        <v>69</v>
      </c>
      <c r="AD27" t="s">
        <v>71</v>
      </c>
      <c r="AE27" t="s">
        <v>69</v>
      </c>
      <c r="AF27">
        <v>117.148</v>
      </c>
      <c r="AG27" t="s">
        <v>69</v>
      </c>
      <c r="AH27" t="s">
        <v>69</v>
      </c>
      <c r="AI27">
        <v>27</v>
      </c>
      <c r="AJ27" t="s">
        <v>119</v>
      </c>
      <c r="AK27" t="s">
        <v>69</v>
      </c>
      <c r="AL27" t="s">
        <v>120</v>
      </c>
      <c r="AM27" t="s">
        <v>69</v>
      </c>
      <c r="AN27">
        <v>147.131</v>
      </c>
      <c r="AO27" t="s">
        <v>69</v>
      </c>
      <c r="AP27" t="s">
        <v>69</v>
      </c>
      <c r="AQ27">
        <v>46</v>
      </c>
      <c r="AR27" t="s">
        <v>151</v>
      </c>
      <c r="AS27" t="s">
        <v>69</v>
      </c>
      <c r="AT27" t="s">
        <v>152</v>
      </c>
      <c r="AU27" t="s">
        <v>69</v>
      </c>
      <c r="AV27">
        <v>165.19200000000001</v>
      </c>
      <c r="AW27" t="s">
        <v>69</v>
      </c>
      <c r="AX27" t="s">
        <v>69</v>
      </c>
      <c r="AY27">
        <v>71</v>
      </c>
      <c r="AZ27" t="s">
        <v>147</v>
      </c>
      <c r="BA27" t="s">
        <v>69</v>
      </c>
      <c r="BB27" t="s">
        <v>148</v>
      </c>
      <c r="BC27" t="s">
        <v>69</v>
      </c>
      <c r="BD27">
        <v>146.14599999999999</v>
      </c>
      <c r="BE27" t="s">
        <v>69</v>
      </c>
      <c r="BF27" t="s">
        <v>69</v>
      </c>
      <c r="BG27">
        <v>134</v>
      </c>
      <c r="BH27" t="s">
        <v>73</v>
      </c>
      <c r="BI27" t="s">
        <v>69</v>
      </c>
      <c r="BJ27" t="s">
        <v>71</v>
      </c>
      <c r="BK27" t="s">
        <v>69</v>
      </c>
      <c r="BL27">
        <v>89.093999999999994</v>
      </c>
      <c r="BM27" t="s">
        <v>69</v>
      </c>
      <c r="BN27" t="s">
        <v>69</v>
      </c>
      <c r="BO27">
        <v>138</v>
      </c>
      <c r="BP27" t="s">
        <v>69</v>
      </c>
      <c r="BQ27" t="s">
        <v>69</v>
      </c>
      <c r="BR27" t="s">
        <v>152</v>
      </c>
      <c r="BS27" t="s">
        <v>69</v>
      </c>
      <c r="BT27">
        <v>181.191</v>
      </c>
      <c r="BU27" t="s">
        <v>69</v>
      </c>
      <c r="BV27" t="s">
        <v>69</v>
      </c>
    </row>
    <row r="28" spans="1:74" x14ac:dyDescent="0.25">
      <c r="A28">
        <v>7</v>
      </c>
      <c r="B28" t="str">
        <f>HYPERLINK("http://www.ncbi.nlm.nih.gov/protein/XP_006984945.1","XP_006984945.1")</f>
        <v>XP_006984945.1</v>
      </c>
      <c r="C28">
        <v>54287</v>
      </c>
      <c r="D28" t="str">
        <f>HYPERLINK("http://www.ncbi.nlm.nih.gov/Taxonomy/Browser/wwwtax.cgi?mode=Info&amp;id=230844&amp;lvl=3&amp;lin=f&amp;keep=1&amp;srchmode=1&amp;unlock","230844")</f>
        <v>230844</v>
      </c>
      <c r="E28" t="s">
        <v>66</v>
      </c>
      <c r="F28" t="str">
        <f>HYPERLINK("http://www.ncbi.nlm.nih.gov/Taxonomy/Browser/wwwtax.cgi?mode=Info&amp;id=230844&amp;lvl=3&amp;lin=f&amp;keep=1&amp;srchmode=1&amp;unlock","Peromyscus maniculatus bairdii")</f>
        <v>Peromyscus maniculatus bairdii</v>
      </c>
      <c r="G28" t="s">
        <v>88</v>
      </c>
      <c r="H28" t="str">
        <f>HYPERLINK("http://www.ncbi.nlm.nih.gov/protein/XP_006984945.1","ras GTPase-activating protein-binding protein 1")</f>
        <v>ras GTPase-activating protein-binding protein 1</v>
      </c>
      <c r="I28" t="s">
        <v>259</v>
      </c>
      <c r="J28" t="s">
        <v>69</v>
      </c>
      <c r="K28">
        <v>6</v>
      </c>
      <c r="L28" t="s">
        <v>146</v>
      </c>
      <c r="M28" t="s">
        <v>69</v>
      </c>
      <c r="N28" t="s">
        <v>71</v>
      </c>
      <c r="O28" t="s">
        <v>69</v>
      </c>
      <c r="P28">
        <v>115.13200000000001</v>
      </c>
      <c r="Q28" t="s">
        <v>69</v>
      </c>
      <c r="R28" t="s">
        <v>69</v>
      </c>
      <c r="S28">
        <v>10</v>
      </c>
      <c r="T28" t="s">
        <v>72</v>
      </c>
      <c r="U28" t="s">
        <v>69</v>
      </c>
      <c r="V28" t="s">
        <v>71</v>
      </c>
      <c r="W28" t="s">
        <v>69</v>
      </c>
      <c r="X28">
        <v>131.17500000000001</v>
      </c>
      <c r="Y28" t="s">
        <v>69</v>
      </c>
      <c r="Z28" t="s">
        <v>69</v>
      </c>
      <c r="AA28">
        <v>11</v>
      </c>
      <c r="AB28" t="s">
        <v>115</v>
      </c>
      <c r="AC28" t="s">
        <v>69</v>
      </c>
      <c r="AD28" t="s">
        <v>71</v>
      </c>
      <c r="AE28" t="s">
        <v>69</v>
      </c>
      <c r="AF28">
        <v>117.148</v>
      </c>
      <c r="AG28" t="s">
        <v>69</v>
      </c>
      <c r="AH28" t="s">
        <v>69</v>
      </c>
      <c r="AI28">
        <v>14</v>
      </c>
      <c r="AJ28" t="s">
        <v>119</v>
      </c>
      <c r="AK28" t="s">
        <v>69</v>
      </c>
      <c r="AL28" t="s">
        <v>120</v>
      </c>
      <c r="AM28" t="s">
        <v>69</v>
      </c>
      <c r="AN28">
        <v>147.131</v>
      </c>
      <c r="AO28" t="s">
        <v>69</v>
      </c>
      <c r="AP28" t="s">
        <v>69</v>
      </c>
      <c r="AQ28">
        <v>33</v>
      </c>
      <c r="AR28" t="s">
        <v>151</v>
      </c>
      <c r="AS28" t="s">
        <v>69</v>
      </c>
      <c r="AT28" t="s">
        <v>152</v>
      </c>
      <c r="AU28" t="s">
        <v>69</v>
      </c>
      <c r="AV28">
        <v>165.19200000000001</v>
      </c>
      <c r="AW28" t="s">
        <v>69</v>
      </c>
      <c r="AX28" t="s">
        <v>69</v>
      </c>
      <c r="AY28">
        <v>58</v>
      </c>
      <c r="AZ28" t="s">
        <v>147</v>
      </c>
      <c r="BA28" t="s">
        <v>69</v>
      </c>
      <c r="BB28" t="s">
        <v>148</v>
      </c>
      <c r="BC28" t="s">
        <v>69</v>
      </c>
      <c r="BD28">
        <v>146.14599999999999</v>
      </c>
      <c r="BE28" t="s">
        <v>69</v>
      </c>
      <c r="BF28" t="s">
        <v>69</v>
      </c>
      <c r="BG28">
        <v>121</v>
      </c>
      <c r="BH28" t="s">
        <v>73</v>
      </c>
      <c r="BI28" t="s">
        <v>69</v>
      </c>
      <c r="BJ28" t="s">
        <v>71</v>
      </c>
      <c r="BK28" t="s">
        <v>69</v>
      </c>
      <c r="BL28">
        <v>89.093999999999994</v>
      </c>
      <c r="BM28" t="s">
        <v>69</v>
      </c>
      <c r="BN28" t="s">
        <v>69</v>
      </c>
      <c r="BO28">
        <v>125</v>
      </c>
      <c r="BP28" t="s">
        <v>69</v>
      </c>
      <c r="BQ28" t="s">
        <v>69</v>
      </c>
      <c r="BR28" t="s">
        <v>152</v>
      </c>
      <c r="BS28" t="s">
        <v>69</v>
      </c>
      <c r="BT28">
        <v>181.191</v>
      </c>
      <c r="BU28" t="s">
        <v>69</v>
      </c>
      <c r="BV28" t="s">
        <v>69</v>
      </c>
    </row>
    <row r="29" spans="1:74" x14ac:dyDescent="0.25">
      <c r="A29">
        <v>7</v>
      </c>
      <c r="B29" t="str">
        <f>HYPERLINK("http://www.ncbi.nlm.nih.gov/protein/XP_005067802.1","XP_005067802.1")</f>
        <v>XP_005067802.1</v>
      </c>
      <c r="C29">
        <v>54410</v>
      </c>
      <c r="D29" t="str">
        <f>HYPERLINK("http://www.ncbi.nlm.nih.gov/Taxonomy/Browser/wwwtax.cgi?mode=Info&amp;id=10036&amp;lvl=3&amp;lin=f&amp;keep=1&amp;srchmode=1&amp;unlock","10036")</f>
        <v>10036</v>
      </c>
      <c r="E29" t="s">
        <v>66</v>
      </c>
      <c r="F29" t="str">
        <f>HYPERLINK("http://www.ncbi.nlm.nih.gov/Taxonomy/Browser/wwwtax.cgi?mode=Info&amp;id=10036&amp;lvl=3&amp;lin=f&amp;keep=1&amp;srchmode=1&amp;unlock","Mesocricetus auratus")</f>
        <v>Mesocricetus auratus</v>
      </c>
      <c r="G29" t="s">
        <v>87</v>
      </c>
      <c r="H29" t="str">
        <f>HYPERLINK("http://www.ncbi.nlm.nih.gov/protein/XP_005067802.1","ras GTPase-activating protein-binding protein 1")</f>
        <v>ras GTPase-activating protein-binding protein 1</v>
      </c>
      <c r="I29" t="s">
        <v>259</v>
      </c>
      <c r="J29" t="s">
        <v>69</v>
      </c>
      <c r="K29">
        <v>6</v>
      </c>
      <c r="L29" t="s">
        <v>146</v>
      </c>
      <c r="M29" t="s">
        <v>69</v>
      </c>
      <c r="N29" t="s">
        <v>71</v>
      </c>
      <c r="O29" t="s">
        <v>69</v>
      </c>
      <c r="P29">
        <v>115.13200000000001</v>
      </c>
      <c r="Q29" t="s">
        <v>69</v>
      </c>
      <c r="R29" t="s">
        <v>69</v>
      </c>
      <c r="S29">
        <v>10</v>
      </c>
      <c r="T29" t="s">
        <v>72</v>
      </c>
      <c r="U29" t="s">
        <v>69</v>
      </c>
      <c r="V29" t="s">
        <v>71</v>
      </c>
      <c r="W29" t="s">
        <v>69</v>
      </c>
      <c r="X29">
        <v>131.17500000000001</v>
      </c>
      <c r="Y29" t="s">
        <v>69</v>
      </c>
      <c r="Z29" t="s">
        <v>69</v>
      </c>
      <c r="AA29">
        <v>11</v>
      </c>
      <c r="AB29" t="s">
        <v>115</v>
      </c>
      <c r="AC29" t="s">
        <v>69</v>
      </c>
      <c r="AD29" t="s">
        <v>71</v>
      </c>
      <c r="AE29" t="s">
        <v>69</v>
      </c>
      <c r="AF29">
        <v>117.148</v>
      </c>
      <c r="AG29" t="s">
        <v>69</v>
      </c>
      <c r="AH29" t="s">
        <v>69</v>
      </c>
      <c r="AI29">
        <v>14</v>
      </c>
      <c r="AJ29" t="s">
        <v>119</v>
      </c>
      <c r="AK29" t="s">
        <v>69</v>
      </c>
      <c r="AL29" t="s">
        <v>120</v>
      </c>
      <c r="AM29" t="s">
        <v>69</v>
      </c>
      <c r="AN29">
        <v>147.131</v>
      </c>
      <c r="AO29" t="s">
        <v>69</v>
      </c>
      <c r="AP29" t="s">
        <v>69</v>
      </c>
      <c r="AQ29">
        <v>33</v>
      </c>
      <c r="AR29" t="s">
        <v>151</v>
      </c>
      <c r="AS29" t="s">
        <v>69</v>
      </c>
      <c r="AT29" t="s">
        <v>152</v>
      </c>
      <c r="AU29" t="s">
        <v>69</v>
      </c>
      <c r="AV29">
        <v>165.19200000000001</v>
      </c>
      <c r="AW29" t="s">
        <v>69</v>
      </c>
      <c r="AX29" t="s">
        <v>69</v>
      </c>
      <c r="AY29">
        <v>58</v>
      </c>
      <c r="AZ29" t="s">
        <v>147</v>
      </c>
      <c r="BA29" t="s">
        <v>69</v>
      </c>
      <c r="BB29" t="s">
        <v>148</v>
      </c>
      <c r="BC29" t="s">
        <v>69</v>
      </c>
      <c r="BD29">
        <v>146.14599999999999</v>
      </c>
      <c r="BE29" t="s">
        <v>69</v>
      </c>
      <c r="BF29" t="s">
        <v>69</v>
      </c>
      <c r="BG29">
        <v>121</v>
      </c>
      <c r="BH29" t="s">
        <v>73</v>
      </c>
      <c r="BI29" t="s">
        <v>69</v>
      </c>
      <c r="BJ29" t="s">
        <v>71</v>
      </c>
      <c r="BK29" t="s">
        <v>69</v>
      </c>
      <c r="BL29">
        <v>89.093999999999994</v>
      </c>
      <c r="BM29" t="s">
        <v>69</v>
      </c>
      <c r="BN29" t="s">
        <v>69</v>
      </c>
      <c r="BO29">
        <v>125</v>
      </c>
      <c r="BP29" t="s">
        <v>69</v>
      </c>
      <c r="BQ29" t="s">
        <v>69</v>
      </c>
      <c r="BR29" t="s">
        <v>152</v>
      </c>
      <c r="BS29" t="s">
        <v>69</v>
      </c>
      <c r="BT29">
        <v>181.191</v>
      </c>
      <c r="BU29" t="s">
        <v>69</v>
      </c>
      <c r="BV29" t="s">
        <v>69</v>
      </c>
    </row>
    <row r="30" spans="1:74" x14ac:dyDescent="0.25">
      <c r="A30">
        <v>7</v>
      </c>
      <c r="B30" t="str">
        <f>HYPERLINK("http://www.ncbi.nlm.nih.gov/protein/NP_598249.1","NP_598249.1")</f>
        <v>NP_598249.1</v>
      </c>
      <c r="C30">
        <v>158159</v>
      </c>
      <c r="D30" t="str">
        <f>HYPERLINK("http://www.ncbi.nlm.nih.gov/Taxonomy/Browser/wwwtax.cgi?mode=Info&amp;id=10116&amp;lvl=3&amp;lin=f&amp;keep=1&amp;srchmode=1&amp;unlock","10116")</f>
        <v>10116</v>
      </c>
      <c r="E30" t="s">
        <v>66</v>
      </c>
      <c r="F30" t="str">
        <f>HYPERLINK("http://www.ncbi.nlm.nih.gov/Taxonomy/Browser/wwwtax.cgi?mode=Info&amp;id=10116&amp;lvl=3&amp;lin=f&amp;keep=1&amp;srchmode=1&amp;unlock","Rattus norvegicus")</f>
        <v>Rattus norvegicus</v>
      </c>
      <c r="G30" t="s">
        <v>102</v>
      </c>
      <c r="H30" t="str">
        <f>HYPERLINK("http://www.ncbi.nlm.nih.gov/protein/NP_598249.1","ras GTPase-activating protein-binding protein 1")</f>
        <v>ras GTPase-activating protein-binding protein 1</v>
      </c>
      <c r="I30" t="s">
        <v>259</v>
      </c>
      <c r="J30" t="s">
        <v>69</v>
      </c>
      <c r="K30">
        <v>6</v>
      </c>
      <c r="L30" t="s">
        <v>146</v>
      </c>
      <c r="M30" t="s">
        <v>69</v>
      </c>
      <c r="N30" t="s">
        <v>71</v>
      </c>
      <c r="O30" t="s">
        <v>69</v>
      </c>
      <c r="P30">
        <v>115.13200000000001</v>
      </c>
      <c r="Q30" t="s">
        <v>69</v>
      </c>
      <c r="R30" t="s">
        <v>69</v>
      </c>
      <c r="S30">
        <v>10</v>
      </c>
      <c r="T30" t="s">
        <v>72</v>
      </c>
      <c r="U30" t="s">
        <v>69</v>
      </c>
      <c r="V30" t="s">
        <v>71</v>
      </c>
      <c r="W30" t="s">
        <v>69</v>
      </c>
      <c r="X30">
        <v>131.17500000000001</v>
      </c>
      <c r="Y30" t="s">
        <v>69</v>
      </c>
      <c r="Z30" t="s">
        <v>69</v>
      </c>
      <c r="AA30">
        <v>11</v>
      </c>
      <c r="AB30" t="s">
        <v>115</v>
      </c>
      <c r="AC30" t="s">
        <v>69</v>
      </c>
      <c r="AD30" t="s">
        <v>71</v>
      </c>
      <c r="AE30" t="s">
        <v>69</v>
      </c>
      <c r="AF30">
        <v>117.148</v>
      </c>
      <c r="AG30" t="s">
        <v>69</v>
      </c>
      <c r="AH30" t="s">
        <v>69</v>
      </c>
      <c r="AI30">
        <v>14</v>
      </c>
      <c r="AJ30" t="s">
        <v>119</v>
      </c>
      <c r="AK30" t="s">
        <v>69</v>
      </c>
      <c r="AL30" t="s">
        <v>120</v>
      </c>
      <c r="AM30" t="s">
        <v>69</v>
      </c>
      <c r="AN30">
        <v>147.131</v>
      </c>
      <c r="AO30" t="s">
        <v>69</v>
      </c>
      <c r="AP30" t="s">
        <v>69</v>
      </c>
      <c r="AQ30">
        <v>33</v>
      </c>
      <c r="AR30" t="s">
        <v>151</v>
      </c>
      <c r="AS30" t="s">
        <v>69</v>
      </c>
      <c r="AT30" t="s">
        <v>152</v>
      </c>
      <c r="AU30" t="s">
        <v>69</v>
      </c>
      <c r="AV30">
        <v>165.19200000000001</v>
      </c>
      <c r="AW30" t="s">
        <v>69</v>
      </c>
      <c r="AX30" t="s">
        <v>69</v>
      </c>
      <c r="AY30">
        <v>58</v>
      </c>
      <c r="AZ30" t="s">
        <v>147</v>
      </c>
      <c r="BA30" t="s">
        <v>69</v>
      </c>
      <c r="BB30" t="s">
        <v>148</v>
      </c>
      <c r="BC30" t="s">
        <v>69</v>
      </c>
      <c r="BD30">
        <v>146.14599999999999</v>
      </c>
      <c r="BE30" t="s">
        <v>69</v>
      </c>
      <c r="BF30" t="s">
        <v>69</v>
      </c>
      <c r="BG30">
        <v>121</v>
      </c>
      <c r="BH30" t="s">
        <v>73</v>
      </c>
      <c r="BI30" t="s">
        <v>69</v>
      </c>
      <c r="BJ30" t="s">
        <v>71</v>
      </c>
      <c r="BK30" t="s">
        <v>69</v>
      </c>
      <c r="BL30">
        <v>89.093999999999994</v>
      </c>
      <c r="BM30" t="s">
        <v>69</v>
      </c>
      <c r="BN30" t="s">
        <v>69</v>
      </c>
      <c r="BO30">
        <v>125</v>
      </c>
      <c r="BP30" t="s">
        <v>69</v>
      </c>
      <c r="BQ30" t="s">
        <v>69</v>
      </c>
      <c r="BR30" t="s">
        <v>152</v>
      </c>
      <c r="BS30" t="s">
        <v>69</v>
      </c>
      <c r="BT30">
        <v>181.191</v>
      </c>
      <c r="BU30" t="s">
        <v>69</v>
      </c>
      <c r="BV30" t="s">
        <v>69</v>
      </c>
    </row>
    <row r="31" spans="1:74" x14ac:dyDescent="0.25">
      <c r="A31">
        <v>7</v>
      </c>
      <c r="B31" t="str">
        <f>HYPERLINK("http://www.ncbi.nlm.nih.gov/protein/XP_025056762.1","XP_025056762.1")</f>
        <v>XP_025056762.1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HYPERLINK("http://www.ncbi.nlm.nih.gov/protein/XP_025056762.1","ras GTPase-activating protein-binding protein 1 isoform X1")</f>
        <v>ras GTPase-activating protein-binding protein 1 isoform X1</v>
      </c>
      <c r="I31" t="s">
        <v>259</v>
      </c>
      <c r="J31" t="s">
        <v>69</v>
      </c>
      <c r="K31">
        <v>6</v>
      </c>
      <c r="L31" t="s">
        <v>146</v>
      </c>
      <c r="M31" t="s">
        <v>69</v>
      </c>
      <c r="N31" t="s">
        <v>71</v>
      </c>
      <c r="O31" t="s">
        <v>69</v>
      </c>
      <c r="P31">
        <v>115.13200000000001</v>
      </c>
      <c r="Q31" t="s">
        <v>69</v>
      </c>
      <c r="R31" t="s">
        <v>69</v>
      </c>
      <c r="S31">
        <v>10</v>
      </c>
      <c r="T31" t="s">
        <v>72</v>
      </c>
      <c r="U31" t="s">
        <v>69</v>
      </c>
      <c r="V31" t="s">
        <v>71</v>
      </c>
      <c r="W31" t="s">
        <v>69</v>
      </c>
      <c r="X31">
        <v>131.17500000000001</v>
      </c>
      <c r="Y31" t="s">
        <v>69</v>
      </c>
      <c r="Z31" t="s">
        <v>69</v>
      </c>
      <c r="AA31">
        <v>11</v>
      </c>
      <c r="AB31" t="s">
        <v>115</v>
      </c>
      <c r="AC31" t="s">
        <v>69</v>
      </c>
      <c r="AD31" t="s">
        <v>71</v>
      </c>
      <c r="AE31" t="s">
        <v>69</v>
      </c>
      <c r="AF31">
        <v>117.148</v>
      </c>
      <c r="AG31" t="s">
        <v>69</v>
      </c>
      <c r="AH31" t="s">
        <v>69</v>
      </c>
      <c r="AI31">
        <v>14</v>
      </c>
      <c r="AJ31" t="s">
        <v>119</v>
      </c>
      <c r="AK31" t="s">
        <v>69</v>
      </c>
      <c r="AL31" t="s">
        <v>120</v>
      </c>
      <c r="AM31" t="s">
        <v>69</v>
      </c>
      <c r="AN31">
        <v>147.131</v>
      </c>
      <c r="AO31" t="s">
        <v>69</v>
      </c>
      <c r="AP31" t="s">
        <v>69</v>
      </c>
      <c r="AQ31">
        <v>33</v>
      </c>
      <c r="AR31" t="s">
        <v>151</v>
      </c>
      <c r="AS31" t="s">
        <v>69</v>
      </c>
      <c r="AT31" t="s">
        <v>152</v>
      </c>
      <c r="AU31" t="s">
        <v>69</v>
      </c>
      <c r="AV31">
        <v>165.19200000000001</v>
      </c>
      <c r="AW31" t="s">
        <v>69</v>
      </c>
      <c r="AX31" t="s">
        <v>69</v>
      </c>
      <c r="AY31">
        <v>58</v>
      </c>
      <c r="AZ31" t="s">
        <v>147</v>
      </c>
      <c r="BA31" t="s">
        <v>69</v>
      </c>
      <c r="BB31" t="s">
        <v>148</v>
      </c>
      <c r="BC31" t="s">
        <v>69</v>
      </c>
      <c r="BD31">
        <v>146.14599999999999</v>
      </c>
      <c r="BE31" t="s">
        <v>69</v>
      </c>
      <c r="BF31" t="s">
        <v>69</v>
      </c>
      <c r="BG31">
        <v>121</v>
      </c>
      <c r="BH31" t="s">
        <v>73</v>
      </c>
      <c r="BI31" t="s">
        <v>69</v>
      </c>
      <c r="BJ31" t="s">
        <v>71</v>
      </c>
      <c r="BK31" t="s">
        <v>69</v>
      </c>
      <c r="BL31">
        <v>89.093999999999994</v>
      </c>
      <c r="BM31" t="s">
        <v>69</v>
      </c>
      <c r="BN31" t="s">
        <v>69</v>
      </c>
      <c r="BO31">
        <v>125</v>
      </c>
      <c r="BP31" t="s">
        <v>69</v>
      </c>
      <c r="BQ31" t="s">
        <v>69</v>
      </c>
      <c r="BR31" t="s">
        <v>152</v>
      </c>
      <c r="BS31" t="s">
        <v>69</v>
      </c>
      <c r="BT31">
        <v>181.191</v>
      </c>
      <c r="BU31" t="s">
        <v>69</v>
      </c>
      <c r="BV31" t="s">
        <v>69</v>
      </c>
    </row>
    <row r="32" spans="1:74" x14ac:dyDescent="0.25">
      <c r="A32">
        <v>7</v>
      </c>
      <c r="B32" t="str">
        <f>HYPERLINK("http://www.ncbi.nlm.nih.gov/protein/XP_039536316.1","XP_039536316.1")</f>
        <v>XP_039536316.1</v>
      </c>
      <c r="C32">
        <v>96114</v>
      </c>
      <c r="D32" t="str">
        <f>HYPERLINK("http://www.ncbi.nlm.nih.gov/Taxonomy/Browser/wwwtax.cgi?mode=Info&amp;id=90988&amp;lvl=3&amp;lin=f&amp;keep=1&amp;srchmode=1&amp;unlock","90988")</f>
        <v>90988</v>
      </c>
      <c r="E32" t="s">
        <v>113</v>
      </c>
      <c r="F32" t="str">
        <f>HYPERLINK("http://www.ncbi.nlm.nih.gov/Taxonomy/Browser/wwwtax.cgi?mode=Info&amp;id=90988&amp;lvl=3&amp;lin=f&amp;keep=1&amp;srchmode=1&amp;unlock","Pimephales promelas")</f>
        <v>Pimephales promelas</v>
      </c>
      <c r="G32" t="s">
        <v>114</v>
      </c>
      <c r="H32" t="str">
        <f>HYPERLINK("http://www.ncbi.nlm.nih.gov/protein/XP_039536316.1","ras GTPase-activating protein-binding protein 1 isoform X2")</f>
        <v>ras GTPase-activating protein-binding protein 1 isoform X2</v>
      </c>
      <c r="I32" t="s">
        <v>259</v>
      </c>
      <c r="J32" t="s">
        <v>69</v>
      </c>
      <c r="K32">
        <v>6</v>
      </c>
      <c r="L32" t="s">
        <v>146</v>
      </c>
      <c r="M32" t="s">
        <v>69</v>
      </c>
      <c r="N32" t="s">
        <v>71</v>
      </c>
      <c r="O32" t="s">
        <v>69</v>
      </c>
      <c r="P32">
        <v>115.13200000000001</v>
      </c>
      <c r="Q32" t="s">
        <v>69</v>
      </c>
      <c r="R32" t="s">
        <v>69</v>
      </c>
      <c r="S32">
        <v>10</v>
      </c>
      <c r="T32" t="s">
        <v>72</v>
      </c>
      <c r="U32" t="s">
        <v>69</v>
      </c>
      <c r="V32" t="s">
        <v>71</v>
      </c>
      <c r="W32" t="s">
        <v>69</v>
      </c>
      <c r="X32">
        <v>131.17500000000001</v>
      </c>
      <c r="Y32" t="s">
        <v>69</v>
      </c>
      <c r="Z32" t="s">
        <v>69</v>
      </c>
      <c r="AA32">
        <v>11</v>
      </c>
      <c r="AB32" t="s">
        <v>115</v>
      </c>
      <c r="AC32" t="s">
        <v>69</v>
      </c>
      <c r="AD32" t="s">
        <v>71</v>
      </c>
      <c r="AE32" t="s">
        <v>69</v>
      </c>
      <c r="AF32">
        <v>117.148</v>
      </c>
      <c r="AG32" t="s">
        <v>69</v>
      </c>
      <c r="AH32" t="s">
        <v>69</v>
      </c>
      <c r="AI32">
        <v>14</v>
      </c>
      <c r="AJ32" t="s">
        <v>119</v>
      </c>
      <c r="AK32" t="s">
        <v>69</v>
      </c>
      <c r="AL32" t="s">
        <v>120</v>
      </c>
      <c r="AM32" t="s">
        <v>69</v>
      </c>
      <c r="AN32">
        <v>147.131</v>
      </c>
      <c r="AO32" t="s">
        <v>69</v>
      </c>
      <c r="AP32" t="s">
        <v>69</v>
      </c>
      <c r="AQ32">
        <v>33</v>
      </c>
      <c r="AR32" t="s">
        <v>151</v>
      </c>
      <c r="AS32" t="s">
        <v>69</v>
      </c>
      <c r="AT32" t="s">
        <v>152</v>
      </c>
      <c r="AU32" t="s">
        <v>69</v>
      </c>
      <c r="AV32">
        <v>165.19200000000001</v>
      </c>
      <c r="AW32" t="s">
        <v>69</v>
      </c>
      <c r="AX32" t="s">
        <v>69</v>
      </c>
      <c r="AY32">
        <v>58</v>
      </c>
      <c r="AZ32" t="s">
        <v>147</v>
      </c>
      <c r="BA32" t="s">
        <v>69</v>
      </c>
      <c r="BB32" t="s">
        <v>148</v>
      </c>
      <c r="BC32" t="s">
        <v>69</v>
      </c>
      <c r="BD32">
        <v>146.14599999999999</v>
      </c>
      <c r="BE32" t="s">
        <v>69</v>
      </c>
      <c r="BF32" t="s">
        <v>69</v>
      </c>
      <c r="BG32">
        <v>121</v>
      </c>
      <c r="BH32" t="s">
        <v>73</v>
      </c>
      <c r="BI32" t="s">
        <v>69</v>
      </c>
      <c r="BJ32" t="s">
        <v>71</v>
      </c>
      <c r="BK32" t="s">
        <v>69</v>
      </c>
      <c r="BL32">
        <v>89.093999999999994</v>
      </c>
      <c r="BM32" t="s">
        <v>69</v>
      </c>
      <c r="BN32" t="s">
        <v>69</v>
      </c>
      <c r="BO32">
        <v>125</v>
      </c>
      <c r="BP32" t="s">
        <v>69</v>
      </c>
      <c r="BQ32" t="s">
        <v>69</v>
      </c>
      <c r="BR32" t="s">
        <v>152</v>
      </c>
      <c r="BS32" t="s">
        <v>69</v>
      </c>
      <c r="BT32">
        <v>181.191</v>
      </c>
      <c r="BU32" t="s">
        <v>69</v>
      </c>
      <c r="BV32" t="s">
        <v>69</v>
      </c>
    </row>
    <row r="33" spans="1:74" x14ac:dyDescent="0.25">
      <c r="A33">
        <v>7</v>
      </c>
      <c r="B33" t="str">
        <f>HYPERLINK("http://www.ncbi.nlm.nih.gov/protein/XP_018109734.1","XP_018109734.1")</f>
        <v>XP_018109734.1</v>
      </c>
      <c r="C33">
        <v>146185</v>
      </c>
      <c r="D33" t="str">
        <f>HYPERLINK("http://www.ncbi.nlm.nih.gov/Taxonomy/Browser/wwwtax.cgi?mode=Info&amp;id=8355&amp;lvl=3&amp;lin=f&amp;keep=1&amp;srchmode=1&amp;unlock","8355")</f>
        <v>8355</v>
      </c>
      <c r="E33" t="s">
        <v>111</v>
      </c>
      <c r="F33" t="str">
        <f>HYPERLINK("http://www.ncbi.nlm.nih.gov/Taxonomy/Browser/wwwtax.cgi?mode=Info&amp;id=8355&amp;lvl=3&amp;lin=f&amp;keep=1&amp;srchmode=1&amp;unlock","Xenopus laevis")</f>
        <v>Xenopus laevis</v>
      </c>
      <c r="G33" t="s">
        <v>112</v>
      </c>
      <c r="H33" t="str">
        <f>HYPERLINK("http://www.ncbi.nlm.nih.gov/protein/XP_018109734.1","ras GTPase-activating protein-binding protein 1 isoform X2")</f>
        <v>ras GTPase-activating protein-binding protein 1 isoform X2</v>
      </c>
      <c r="I33" t="s">
        <v>259</v>
      </c>
      <c r="J33" t="s">
        <v>69</v>
      </c>
      <c r="K33">
        <v>6</v>
      </c>
      <c r="L33" t="s">
        <v>146</v>
      </c>
      <c r="M33" t="s">
        <v>69</v>
      </c>
      <c r="N33" t="s">
        <v>71</v>
      </c>
      <c r="O33" t="s">
        <v>69</v>
      </c>
      <c r="P33">
        <v>115.13200000000001</v>
      </c>
      <c r="Q33" t="s">
        <v>69</v>
      </c>
      <c r="R33" t="s">
        <v>69</v>
      </c>
      <c r="S33">
        <v>10</v>
      </c>
      <c r="T33" t="s">
        <v>72</v>
      </c>
      <c r="U33" t="s">
        <v>69</v>
      </c>
      <c r="V33" t="s">
        <v>71</v>
      </c>
      <c r="W33" t="s">
        <v>69</v>
      </c>
      <c r="X33">
        <v>131.17500000000001</v>
      </c>
      <c r="Y33" t="s">
        <v>69</v>
      </c>
      <c r="Z33" t="s">
        <v>69</v>
      </c>
      <c r="AA33">
        <v>11</v>
      </c>
      <c r="AB33" t="s">
        <v>115</v>
      </c>
      <c r="AC33" t="s">
        <v>69</v>
      </c>
      <c r="AD33" t="s">
        <v>71</v>
      </c>
      <c r="AE33" t="s">
        <v>69</v>
      </c>
      <c r="AF33">
        <v>117.148</v>
      </c>
      <c r="AG33" t="s">
        <v>69</v>
      </c>
      <c r="AH33" t="s">
        <v>69</v>
      </c>
      <c r="AI33">
        <v>14</v>
      </c>
      <c r="AJ33" t="s">
        <v>119</v>
      </c>
      <c r="AK33" t="s">
        <v>69</v>
      </c>
      <c r="AL33" t="s">
        <v>120</v>
      </c>
      <c r="AM33" t="s">
        <v>69</v>
      </c>
      <c r="AN33">
        <v>147.131</v>
      </c>
      <c r="AO33" t="s">
        <v>69</v>
      </c>
      <c r="AP33" t="s">
        <v>69</v>
      </c>
      <c r="AQ33">
        <v>33</v>
      </c>
      <c r="AR33" t="s">
        <v>151</v>
      </c>
      <c r="AS33" t="s">
        <v>69</v>
      </c>
      <c r="AT33" t="s">
        <v>152</v>
      </c>
      <c r="AU33" t="s">
        <v>69</v>
      </c>
      <c r="AV33">
        <v>165.19200000000001</v>
      </c>
      <c r="AW33" t="s">
        <v>69</v>
      </c>
      <c r="AX33" t="s">
        <v>69</v>
      </c>
      <c r="AY33">
        <v>58</v>
      </c>
      <c r="AZ33" t="s">
        <v>147</v>
      </c>
      <c r="BA33" t="s">
        <v>69</v>
      </c>
      <c r="BB33" t="s">
        <v>148</v>
      </c>
      <c r="BC33" t="s">
        <v>69</v>
      </c>
      <c r="BD33">
        <v>146.14599999999999</v>
      </c>
      <c r="BE33" t="s">
        <v>69</v>
      </c>
      <c r="BF33" t="s">
        <v>69</v>
      </c>
      <c r="BG33">
        <v>121</v>
      </c>
      <c r="BH33" t="s">
        <v>73</v>
      </c>
      <c r="BI33" t="s">
        <v>69</v>
      </c>
      <c r="BJ33" t="s">
        <v>71</v>
      </c>
      <c r="BK33" t="s">
        <v>69</v>
      </c>
      <c r="BL33">
        <v>89.093999999999994</v>
      </c>
      <c r="BM33" t="s">
        <v>69</v>
      </c>
      <c r="BN33" t="s">
        <v>69</v>
      </c>
      <c r="BO33">
        <v>125</v>
      </c>
      <c r="BP33" t="s">
        <v>69</v>
      </c>
      <c r="BQ33" t="s">
        <v>69</v>
      </c>
      <c r="BR33" t="s">
        <v>152</v>
      </c>
      <c r="BS33" t="s">
        <v>69</v>
      </c>
      <c r="BT33">
        <v>181.191</v>
      </c>
      <c r="BU33" t="s">
        <v>69</v>
      </c>
      <c r="BV33" t="s">
        <v>69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33"/>
  <sheetViews>
    <sheetView workbookViewId="0"/>
  </sheetViews>
  <sheetFormatPr defaultRowHeight="15" x14ac:dyDescent="0.25"/>
  <cols>
    <col min="8" max="8" width="41.5703125" customWidth="1"/>
  </cols>
  <sheetData>
    <row r="1" spans="1:90"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row>
    <row r="2" spans="1:90" x14ac:dyDescent="0.25">
      <c r="A2">
        <v>7</v>
      </c>
      <c r="B2" t="str">
        <f>HYPERLINK("http://www.ncbi.nlm.nih.gov/protein/NP_001562.1","NP_001562.1")</f>
        <v>NP_001562.1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HYPERLINK("http://www.ncbi.nlm.nih.gov/protein/NP_001562.1","interferon regulatory factor 3 isoform 1")</f>
        <v>interferon regulatory factor 3 isoform 1</v>
      </c>
      <c r="I2" t="s">
        <v>260</v>
      </c>
      <c r="J2" t="s">
        <v>69</v>
      </c>
      <c r="K2">
        <v>211</v>
      </c>
      <c r="L2" t="s">
        <v>74</v>
      </c>
      <c r="M2" t="s">
        <v>69</v>
      </c>
      <c r="N2" t="s">
        <v>75</v>
      </c>
      <c r="O2" t="s">
        <v>69</v>
      </c>
      <c r="P2">
        <v>174.203</v>
      </c>
      <c r="Q2" t="s">
        <v>69</v>
      </c>
      <c r="R2" t="s">
        <v>69</v>
      </c>
      <c r="S2">
        <v>263</v>
      </c>
      <c r="T2" t="s">
        <v>157</v>
      </c>
      <c r="U2" t="s">
        <v>69</v>
      </c>
      <c r="V2" t="s">
        <v>75</v>
      </c>
      <c r="W2" t="s">
        <v>69</v>
      </c>
      <c r="X2">
        <v>155.15600000000001</v>
      </c>
      <c r="Y2" t="s">
        <v>69</v>
      </c>
      <c r="Z2" t="s">
        <v>69</v>
      </c>
      <c r="AA2">
        <v>285</v>
      </c>
      <c r="AB2" t="s">
        <v>74</v>
      </c>
      <c r="AC2" t="s">
        <v>69</v>
      </c>
      <c r="AD2" t="s">
        <v>75</v>
      </c>
      <c r="AE2" t="s">
        <v>69</v>
      </c>
      <c r="AF2">
        <v>174.203</v>
      </c>
      <c r="AG2" t="s">
        <v>69</v>
      </c>
      <c r="AH2" t="s">
        <v>69</v>
      </c>
      <c r="AI2">
        <v>288</v>
      </c>
      <c r="AJ2" t="s">
        <v>157</v>
      </c>
      <c r="AK2" t="s">
        <v>69</v>
      </c>
      <c r="AL2" t="s">
        <v>75</v>
      </c>
      <c r="AM2" t="s">
        <v>69</v>
      </c>
      <c r="AN2">
        <v>155.15600000000001</v>
      </c>
      <c r="AO2" t="s">
        <v>69</v>
      </c>
      <c r="AP2" t="s">
        <v>69</v>
      </c>
      <c r="AQ2">
        <v>290</v>
      </c>
      <c r="AR2" t="s">
        <v>157</v>
      </c>
      <c r="AS2" t="s">
        <v>69</v>
      </c>
      <c r="AT2" t="s">
        <v>75</v>
      </c>
      <c r="AU2" t="s">
        <v>69</v>
      </c>
      <c r="AV2">
        <v>155.15600000000001</v>
      </c>
      <c r="AW2" t="s">
        <v>69</v>
      </c>
      <c r="AX2" t="s">
        <v>69</v>
      </c>
      <c r="AY2">
        <v>313</v>
      </c>
      <c r="AZ2" t="s">
        <v>76</v>
      </c>
      <c r="BA2" t="s">
        <v>69</v>
      </c>
      <c r="BB2" t="s">
        <v>75</v>
      </c>
      <c r="BC2" t="s">
        <v>69</v>
      </c>
      <c r="BD2">
        <v>146.18899999999999</v>
      </c>
      <c r="BE2" t="s">
        <v>69</v>
      </c>
      <c r="BF2" t="s">
        <v>69</v>
      </c>
      <c r="BG2">
        <v>349</v>
      </c>
      <c r="BH2" t="s">
        <v>70</v>
      </c>
      <c r="BI2" t="s">
        <v>69</v>
      </c>
      <c r="BJ2" t="s">
        <v>71</v>
      </c>
      <c r="BK2" t="s">
        <v>69</v>
      </c>
      <c r="BL2">
        <v>75.066999999999993</v>
      </c>
      <c r="BM2" t="s">
        <v>69</v>
      </c>
      <c r="BN2" t="s">
        <v>69</v>
      </c>
      <c r="BO2">
        <v>350</v>
      </c>
      <c r="BP2" t="s">
        <v>119</v>
      </c>
      <c r="BQ2" t="s">
        <v>69</v>
      </c>
      <c r="BR2" t="s">
        <v>120</v>
      </c>
      <c r="BS2" t="s">
        <v>69</v>
      </c>
      <c r="BT2">
        <v>147.131</v>
      </c>
      <c r="BU2" t="s">
        <v>69</v>
      </c>
      <c r="BV2" t="s">
        <v>69</v>
      </c>
      <c r="BW2">
        <v>351</v>
      </c>
      <c r="BX2" t="s">
        <v>155</v>
      </c>
      <c r="BY2" t="s">
        <v>69</v>
      </c>
      <c r="BZ2" t="s">
        <v>150</v>
      </c>
      <c r="CA2" t="s">
        <v>69</v>
      </c>
      <c r="CB2">
        <v>105.093</v>
      </c>
      <c r="CC2" t="s">
        <v>69</v>
      </c>
      <c r="CD2" t="s">
        <v>69</v>
      </c>
      <c r="CE2">
        <v>360</v>
      </c>
      <c r="CF2" t="s">
        <v>76</v>
      </c>
      <c r="CG2" t="s">
        <v>69</v>
      </c>
      <c r="CH2" t="s">
        <v>75</v>
      </c>
      <c r="CI2" t="s">
        <v>69</v>
      </c>
      <c r="CJ2">
        <v>146.18899999999999</v>
      </c>
      <c r="CK2" t="s">
        <v>69</v>
      </c>
      <c r="CL2" t="s">
        <v>69</v>
      </c>
    </row>
    <row r="3" spans="1:90" x14ac:dyDescent="0.25">
      <c r="A3">
        <v>7</v>
      </c>
      <c r="B3" t="str">
        <f>HYPERLINK("http://www.ncbi.nlm.nih.gov/protein/XP_018870991.1","XP_018870991.1")</f>
        <v>XP_018870991.1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HYPERLINK("http://www.ncbi.nlm.nih.gov/protein/XP_018870991.1","interferon regulatory factor 3 isoform X4")</f>
        <v>interferon regulatory factor 3 isoform X4</v>
      </c>
      <c r="I3" t="s">
        <v>260</v>
      </c>
      <c r="J3" t="s">
        <v>69</v>
      </c>
      <c r="K3">
        <v>211</v>
      </c>
      <c r="L3" t="s">
        <v>74</v>
      </c>
      <c r="M3" t="s">
        <v>69</v>
      </c>
      <c r="N3" t="s">
        <v>75</v>
      </c>
      <c r="O3" t="s">
        <v>69</v>
      </c>
      <c r="P3">
        <v>174.203</v>
      </c>
      <c r="Q3" t="s">
        <v>69</v>
      </c>
      <c r="R3" t="s">
        <v>69</v>
      </c>
      <c r="S3">
        <v>263</v>
      </c>
      <c r="T3" t="s">
        <v>157</v>
      </c>
      <c r="U3" t="s">
        <v>69</v>
      </c>
      <c r="V3" t="s">
        <v>75</v>
      </c>
      <c r="W3" t="s">
        <v>69</v>
      </c>
      <c r="X3">
        <v>155.15600000000001</v>
      </c>
      <c r="Y3" t="s">
        <v>69</v>
      </c>
      <c r="Z3" t="s">
        <v>69</v>
      </c>
      <c r="AA3">
        <v>285</v>
      </c>
      <c r="AB3" t="s">
        <v>74</v>
      </c>
      <c r="AC3" t="s">
        <v>69</v>
      </c>
      <c r="AD3" t="s">
        <v>75</v>
      </c>
      <c r="AE3" t="s">
        <v>69</v>
      </c>
      <c r="AF3">
        <v>174.203</v>
      </c>
      <c r="AG3" t="s">
        <v>69</v>
      </c>
      <c r="AH3" t="s">
        <v>69</v>
      </c>
      <c r="AI3">
        <v>288</v>
      </c>
      <c r="AJ3" t="s">
        <v>157</v>
      </c>
      <c r="AK3" t="s">
        <v>69</v>
      </c>
      <c r="AL3" t="s">
        <v>75</v>
      </c>
      <c r="AM3" t="s">
        <v>69</v>
      </c>
      <c r="AN3">
        <v>155.15600000000001</v>
      </c>
      <c r="AO3" t="s">
        <v>69</v>
      </c>
      <c r="AP3" t="s">
        <v>69</v>
      </c>
      <c r="AQ3">
        <v>290</v>
      </c>
      <c r="AR3" t="s">
        <v>157</v>
      </c>
      <c r="AS3" t="s">
        <v>69</v>
      </c>
      <c r="AT3" t="s">
        <v>75</v>
      </c>
      <c r="AU3" t="s">
        <v>69</v>
      </c>
      <c r="AV3">
        <v>155.15600000000001</v>
      </c>
      <c r="AW3" t="s">
        <v>69</v>
      </c>
      <c r="AX3" t="s">
        <v>69</v>
      </c>
      <c r="AY3">
        <v>313</v>
      </c>
      <c r="AZ3" t="s">
        <v>76</v>
      </c>
      <c r="BA3" t="s">
        <v>69</v>
      </c>
      <c r="BB3" t="s">
        <v>75</v>
      </c>
      <c r="BC3" t="s">
        <v>69</v>
      </c>
      <c r="BD3">
        <v>146.18899999999999</v>
      </c>
      <c r="BE3" t="s">
        <v>69</v>
      </c>
      <c r="BF3" t="s">
        <v>69</v>
      </c>
      <c r="BG3">
        <v>349</v>
      </c>
      <c r="BH3" t="s">
        <v>70</v>
      </c>
      <c r="BI3" t="s">
        <v>69</v>
      </c>
      <c r="BJ3" t="s">
        <v>71</v>
      </c>
      <c r="BK3" t="s">
        <v>69</v>
      </c>
      <c r="BL3">
        <v>75.066999999999993</v>
      </c>
      <c r="BM3" t="s">
        <v>69</v>
      </c>
      <c r="BN3" t="s">
        <v>69</v>
      </c>
      <c r="BO3">
        <v>350</v>
      </c>
      <c r="BP3" t="s">
        <v>119</v>
      </c>
      <c r="BQ3" t="s">
        <v>69</v>
      </c>
      <c r="BR3" t="s">
        <v>120</v>
      </c>
      <c r="BS3" t="s">
        <v>69</v>
      </c>
      <c r="BT3">
        <v>147.131</v>
      </c>
      <c r="BU3" t="s">
        <v>69</v>
      </c>
      <c r="BV3" t="s">
        <v>69</v>
      </c>
      <c r="BW3">
        <v>351</v>
      </c>
      <c r="BX3" t="s">
        <v>155</v>
      </c>
      <c r="BY3" t="s">
        <v>69</v>
      </c>
      <c r="BZ3" t="s">
        <v>150</v>
      </c>
      <c r="CA3" t="s">
        <v>69</v>
      </c>
      <c r="CB3">
        <v>105.093</v>
      </c>
      <c r="CC3" t="s">
        <v>69</v>
      </c>
      <c r="CD3" t="s">
        <v>69</v>
      </c>
      <c r="CE3">
        <v>360</v>
      </c>
      <c r="CF3" t="s">
        <v>76</v>
      </c>
      <c r="CG3" t="s">
        <v>69</v>
      </c>
      <c r="CH3" t="s">
        <v>75</v>
      </c>
      <c r="CI3" t="s">
        <v>69</v>
      </c>
      <c r="CJ3">
        <v>146.18899999999999</v>
      </c>
      <c r="CK3" t="s">
        <v>69</v>
      </c>
      <c r="CL3" t="s">
        <v>69</v>
      </c>
    </row>
    <row r="4" spans="1:90" x14ac:dyDescent="0.25">
      <c r="A4">
        <v>7</v>
      </c>
      <c r="B4" t="str">
        <f>HYPERLINK("http://www.ncbi.nlm.nih.gov/protein/XP_007995777.1","XP_007995777.1")</f>
        <v>XP_007995777.1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HYPERLINK("http://www.ncbi.nlm.nih.gov/protein/XP_007995777.1","interferon regulatory factor 3 isoform X3")</f>
        <v>interferon regulatory factor 3 isoform X3</v>
      </c>
      <c r="I4" t="s">
        <v>260</v>
      </c>
      <c r="J4" t="s">
        <v>69</v>
      </c>
      <c r="K4">
        <v>207</v>
      </c>
      <c r="L4" t="s">
        <v>74</v>
      </c>
      <c r="M4" t="s">
        <v>69</v>
      </c>
      <c r="N4" t="s">
        <v>75</v>
      </c>
      <c r="O4" t="s">
        <v>69</v>
      </c>
      <c r="P4">
        <v>174.203</v>
      </c>
      <c r="Q4" t="s">
        <v>69</v>
      </c>
      <c r="R4" t="s">
        <v>69</v>
      </c>
      <c r="S4">
        <v>259</v>
      </c>
      <c r="T4" t="s">
        <v>157</v>
      </c>
      <c r="U4" t="s">
        <v>69</v>
      </c>
      <c r="V4" t="s">
        <v>75</v>
      </c>
      <c r="W4" t="s">
        <v>69</v>
      </c>
      <c r="X4">
        <v>155.15600000000001</v>
      </c>
      <c r="Y4" t="s">
        <v>69</v>
      </c>
      <c r="Z4" t="s">
        <v>69</v>
      </c>
      <c r="AA4">
        <v>281</v>
      </c>
      <c r="AB4" t="s">
        <v>74</v>
      </c>
      <c r="AC4" t="s">
        <v>69</v>
      </c>
      <c r="AD4" t="s">
        <v>75</v>
      </c>
      <c r="AE4" t="s">
        <v>69</v>
      </c>
      <c r="AF4">
        <v>174.203</v>
      </c>
      <c r="AG4" t="s">
        <v>69</v>
      </c>
      <c r="AH4" t="s">
        <v>69</v>
      </c>
      <c r="AI4">
        <v>284</v>
      </c>
      <c r="AJ4" t="s">
        <v>157</v>
      </c>
      <c r="AK4" t="s">
        <v>69</v>
      </c>
      <c r="AL4" t="s">
        <v>75</v>
      </c>
      <c r="AM4" t="s">
        <v>69</v>
      </c>
      <c r="AN4">
        <v>155.15600000000001</v>
      </c>
      <c r="AO4" t="s">
        <v>69</v>
      </c>
      <c r="AP4" t="s">
        <v>69</v>
      </c>
      <c r="AQ4">
        <v>286</v>
      </c>
      <c r="AR4" t="s">
        <v>157</v>
      </c>
      <c r="AS4" t="s">
        <v>69</v>
      </c>
      <c r="AT4" t="s">
        <v>75</v>
      </c>
      <c r="AU4" t="s">
        <v>69</v>
      </c>
      <c r="AV4">
        <v>155.15600000000001</v>
      </c>
      <c r="AW4" t="s">
        <v>69</v>
      </c>
      <c r="AX4" t="s">
        <v>69</v>
      </c>
      <c r="AY4">
        <v>308</v>
      </c>
      <c r="AZ4" t="s">
        <v>76</v>
      </c>
      <c r="BA4" t="s">
        <v>69</v>
      </c>
      <c r="BB4" t="s">
        <v>75</v>
      </c>
      <c r="BC4" t="s">
        <v>69</v>
      </c>
      <c r="BD4">
        <v>146.18899999999999</v>
      </c>
      <c r="BE4" t="s">
        <v>69</v>
      </c>
      <c r="BF4" t="s">
        <v>69</v>
      </c>
      <c r="BG4">
        <v>344</v>
      </c>
      <c r="BH4" t="s">
        <v>70</v>
      </c>
      <c r="BI4" t="s">
        <v>69</v>
      </c>
      <c r="BJ4" t="s">
        <v>71</v>
      </c>
      <c r="BK4" t="s">
        <v>69</v>
      </c>
      <c r="BL4">
        <v>75.066999999999993</v>
      </c>
      <c r="BM4" t="s">
        <v>69</v>
      </c>
      <c r="BN4" t="s">
        <v>69</v>
      </c>
      <c r="BO4">
        <v>345</v>
      </c>
      <c r="BP4" t="s">
        <v>119</v>
      </c>
      <c r="BQ4" t="s">
        <v>69</v>
      </c>
      <c r="BR4" t="s">
        <v>120</v>
      </c>
      <c r="BS4" t="s">
        <v>69</v>
      </c>
      <c r="BT4">
        <v>147.131</v>
      </c>
      <c r="BU4" t="s">
        <v>69</v>
      </c>
      <c r="BV4" t="s">
        <v>69</v>
      </c>
      <c r="BW4">
        <v>346</v>
      </c>
      <c r="BX4" t="s">
        <v>155</v>
      </c>
      <c r="BY4" t="s">
        <v>69</v>
      </c>
      <c r="BZ4" t="s">
        <v>150</v>
      </c>
      <c r="CA4" t="s">
        <v>69</v>
      </c>
      <c r="CB4">
        <v>105.093</v>
      </c>
      <c r="CC4" t="s">
        <v>69</v>
      </c>
      <c r="CD4" t="s">
        <v>69</v>
      </c>
      <c r="CE4">
        <v>355</v>
      </c>
      <c r="CF4" t="s">
        <v>76</v>
      </c>
      <c r="CG4" t="s">
        <v>69</v>
      </c>
      <c r="CH4" t="s">
        <v>75</v>
      </c>
      <c r="CI4" t="s">
        <v>69</v>
      </c>
      <c r="CJ4">
        <v>146.18899999999999</v>
      </c>
      <c r="CK4" t="s">
        <v>69</v>
      </c>
      <c r="CL4" t="s">
        <v>69</v>
      </c>
    </row>
    <row r="5" spans="1:90" x14ac:dyDescent="0.25">
      <c r="A5">
        <v>7</v>
      </c>
      <c r="B5" t="str">
        <f>HYPERLINK("http://www.ncbi.nlm.nih.gov/protein/XP_009193256.1","XP_009193256.1")</f>
        <v>XP_009193256.1</v>
      </c>
      <c r="C5">
        <v>73529</v>
      </c>
      <c r="D5" t="str">
        <f>HYPERLINK("http://www.ncbi.nlm.nih.gov/Taxonomy/Browser/wwwtax.cgi?mode=Info&amp;id=9555&amp;lvl=3&amp;lin=f&amp;keep=1&amp;srchmode=1&amp;unlock","9555")</f>
        <v>9555</v>
      </c>
      <c r="E5" t="s">
        <v>66</v>
      </c>
      <c r="F5" t="str">
        <f>HYPERLINK("http://www.ncbi.nlm.nih.gov/Taxonomy/Browser/wwwtax.cgi?mode=Info&amp;id=9555&amp;lvl=3&amp;lin=f&amp;keep=1&amp;srchmode=1&amp;unlock","Papio anubis")</f>
        <v>Papio anubis</v>
      </c>
      <c r="G5" t="s">
        <v>80</v>
      </c>
      <c r="H5" t="str">
        <f>HYPERLINK("http://www.ncbi.nlm.nih.gov/protein/XP_009193256.1","interferon regulatory factor 3 isoform X2")</f>
        <v>interferon regulatory factor 3 isoform X2</v>
      </c>
      <c r="I5" t="s">
        <v>260</v>
      </c>
      <c r="J5" t="s">
        <v>69</v>
      </c>
      <c r="K5">
        <v>207</v>
      </c>
      <c r="L5" t="s">
        <v>74</v>
      </c>
      <c r="M5" t="s">
        <v>69</v>
      </c>
      <c r="N5" t="s">
        <v>75</v>
      </c>
      <c r="O5" t="s">
        <v>69</v>
      </c>
      <c r="P5">
        <v>174.203</v>
      </c>
      <c r="Q5" t="s">
        <v>69</v>
      </c>
      <c r="R5" t="s">
        <v>69</v>
      </c>
      <c r="S5">
        <v>259</v>
      </c>
      <c r="T5" t="s">
        <v>157</v>
      </c>
      <c r="U5" t="s">
        <v>69</v>
      </c>
      <c r="V5" t="s">
        <v>75</v>
      </c>
      <c r="W5" t="s">
        <v>69</v>
      </c>
      <c r="X5">
        <v>155.15600000000001</v>
      </c>
      <c r="Y5" t="s">
        <v>69</v>
      </c>
      <c r="Z5" t="s">
        <v>69</v>
      </c>
      <c r="AA5">
        <v>281</v>
      </c>
      <c r="AB5" t="s">
        <v>74</v>
      </c>
      <c r="AC5" t="s">
        <v>69</v>
      </c>
      <c r="AD5" t="s">
        <v>75</v>
      </c>
      <c r="AE5" t="s">
        <v>69</v>
      </c>
      <c r="AF5">
        <v>174.203</v>
      </c>
      <c r="AG5" t="s">
        <v>69</v>
      </c>
      <c r="AH5" t="s">
        <v>69</v>
      </c>
      <c r="AI5">
        <v>284</v>
      </c>
      <c r="AJ5" t="s">
        <v>157</v>
      </c>
      <c r="AK5" t="s">
        <v>69</v>
      </c>
      <c r="AL5" t="s">
        <v>75</v>
      </c>
      <c r="AM5" t="s">
        <v>69</v>
      </c>
      <c r="AN5">
        <v>155.15600000000001</v>
      </c>
      <c r="AO5" t="s">
        <v>69</v>
      </c>
      <c r="AP5" t="s">
        <v>69</v>
      </c>
      <c r="AQ5">
        <v>286</v>
      </c>
      <c r="AR5" t="s">
        <v>157</v>
      </c>
      <c r="AS5" t="s">
        <v>69</v>
      </c>
      <c r="AT5" t="s">
        <v>75</v>
      </c>
      <c r="AU5" t="s">
        <v>69</v>
      </c>
      <c r="AV5">
        <v>155.15600000000001</v>
      </c>
      <c r="AW5" t="s">
        <v>69</v>
      </c>
      <c r="AX5" t="s">
        <v>69</v>
      </c>
      <c r="AY5">
        <v>308</v>
      </c>
      <c r="AZ5" t="s">
        <v>76</v>
      </c>
      <c r="BA5" t="s">
        <v>69</v>
      </c>
      <c r="BB5" t="s">
        <v>75</v>
      </c>
      <c r="BC5" t="s">
        <v>69</v>
      </c>
      <c r="BD5">
        <v>146.18899999999999</v>
      </c>
      <c r="BE5" t="s">
        <v>69</v>
      </c>
      <c r="BF5" t="s">
        <v>69</v>
      </c>
      <c r="BG5">
        <v>344</v>
      </c>
      <c r="BH5" t="s">
        <v>70</v>
      </c>
      <c r="BI5" t="s">
        <v>69</v>
      </c>
      <c r="BJ5" t="s">
        <v>71</v>
      </c>
      <c r="BK5" t="s">
        <v>69</v>
      </c>
      <c r="BL5">
        <v>75.066999999999993</v>
      </c>
      <c r="BM5" t="s">
        <v>69</v>
      </c>
      <c r="BN5" t="s">
        <v>69</v>
      </c>
      <c r="BO5">
        <v>345</v>
      </c>
      <c r="BP5" t="s">
        <v>119</v>
      </c>
      <c r="BQ5" t="s">
        <v>69</v>
      </c>
      <c r="BR5" t="s">
        <v>120</v>
      </c>
      <c r="BS5" t="s">
        <v>69</v>
      </c>
      <c r="BT5">
        <v>147.131</v>
      </c>
      <c r="BU5" t="s">
        <v>69</v>
      </c>
      <c r="BV5" t="s">
        <v>69</v>
      </c>
      <c r="BW5">
        <v>346</v>
      </c>
      <c r="BX5" t="s">
        <v>155</v>
      </c>
      <c r="BY5" t="s">
        <v>69</v>
      </c>
      <c r="BZ5" t="s">
        <v>150</v>
      </c>
      <c r="CA5" t="s">
        <v>69</v>
      </c>
      <c r="CB5">
        <v>105.093</v>
      </c>
      <c r="CC5" t="s">
        <v>69</v>
      </c>
      <c r="CD5" t="s">
        <v>69</v>
      </c>
      <c r="CE5">
        <v>355</v>
      </c>
      <c r="CF5" t="s">
        <v>76</v>
      </c>
      <c r="CG5" t="s">
        <v>69</v>
      </c>
      <c r="CH5" t="s">
        <v>75</v>
      </c>
      <c r="CI5" t="s">
        <v>69</v>
      </c>
      <c r="CJ5">
        <v>146.18899999999999</v>
      </c>
      <c r="CK5" t="s">
        <v>69</v>
      </c>
      <c r="CL5" t="s">
        <v>69</v>
      </c>
    </row>
    <row r="6" spans="1:90" x14ac:dyDescent="0.25">
      <c r="A6">
        <v>7</v>
      </c>
      <c r="B6" t="str">
        <f>HYPERLINK("http://www.ncbi.nlm.nih.gov/protein/NP_001129269.1","NP_001129269.1")</f>
        <v>NP_001129269.1</v>
      </c>
      <c r="C6">
        <v>178339</v>
      </c>
      <c r="D6" t="str">
        <f>HYPERLINK("http://www.ncbi.nlm.nih.gov/Taxonomy/Browser/wwwtax.cgi?mode=Info&amp;id=9544&amp;lvl=3&amp;lin=f&amp;keep=1&amp;srchmode=1&amp;unlock","9544")</f>
        <v>9544</v>
      </c>
      <c r="E6" t="s">
        <v>66</v>
      </c>
      <c r="F6" t="str">
        <f>HYPERLINK("http://www.ncbi.nlm.nih.gov/Taxonomy/Browser/wwwtax.cgi?mode=Info&amp;id=9544&amp;lvl=3&amp;lin=f&amp;keep=1&amp;srchmode=1&amp;unlock","Macaca mulatta")</f>
        <v>Macaca mulatta</v>
      </c>
      <c r="G6" t="s">
        <v>77</v>
      </c>
      <c r="H6" t="str">
        <f>HYPERLINK("http://www.ncbi.nlm.nih.gov/protein/NP_001129269.1","interferon regulatory factor 3")</f>
        <v>interferon regulatory factor 3</v>
      </c>
      <c r="I6" t="s">
        <v>260</v>
      </c>
      <c r="J6" t="s">
        <v>69</v>
      </c>
      <c r="K6">
        <v>207</v>
      </c>
      <c r="L6" t="s">
        <v>74</v>
      </c>
      <c r="M6" t="s">
        <v>69</v>
      </c>
      <c r="N6" t="s">
        <v>75</v>
      </c>
      <c r="O6" t="s">
        <v>69</v>
      </c>
      <c r="P6">
        <v>174.203</v>
      </c>
      <c r="Q6" t="s">
        <v>69</v>
      </c>
      <c r="R6" t="s">
        <v>69</v>
      </c>
      <c r="S6">
        <v>259</v>
      </c>
      <c r="T6" t="s">
        <v>157</v>
      </c>
      <c r="U6" t="s">
        <v>69</v>
      </c>
      <c r="V6" t="s">
        <v>75</v>
      </c>
      <c r="W6" t="s">
        <v>69</v>
      </c>
      <c r="X6">
        <v>155.15600000000001</v>
      </c>
      <c r="Y6" t="s">
        <v>69</v>
      </c>
      <c r="Z6" t="s">
        <v>69</v>
      </c>
      <c r="AA6">
        <v>281</v>
      </c>
      <c r="AB6" t="s">
        <v>74</v>
      </c>
      <c r="AC6" t="s">
        <v>69</v>
      </c>
      <c r="AD6" t="s">
        <v>75</v>
      </c>
      <c r="AE6" t="s">
        <v>69</v>
      </c>
      <c r="AF6">
        <v>174.203</v>
      </c>
      <c r="AG6" t="s">
        <v>69</v>
      </c>
      <c r="AH6" t="s">
        <v>69</v>
      </c>
      <c r="AI6">
        <v>284</v>
      </c>
      <c r="AJ6" t="s">
        <v>157</v>
      </c>
      <c r="AK6" t="s">
        <v>69</v>
      </c>
      <c r="AL6" t="s">
        <v>75</v>
      </c>
      <c r="AM6" t="s">
        <v>69</v>
      </c>
      <c r="AN6">
        <v>155.15600000000001</v>
      </c>
      <c r="AO6" t="s">
        <v>69</v>
      </c>
      <c r="AP6" t="s">
        <v>69</v>
      </c>
      <c r="AQ6">
        <v>286</v>
      </c>
      <c r="AR6" t="s">
        <v>157</v>
      </c>
      <c r="AS6" t="s">
        <v>69</v>
      </c>
      <c r="AT6" t="s">
        <v>75</v>
      </c>
      <c r="AU6" t="s">
        <v>69</v>
      </c>
      <c r="AV6">
        <v>155.15600000000001</v>
      </c>
      <c r="AW6" t="s">
        <v>69</v>
      </c>
      <c r="AX6" t="s">
        <v>69</v>
      </c>
      <c r="AY6">
        <v>308</v>
      </c>
      <c r="AZ6" t="s">
        <v>76</v>
      </c>
      <c r="BA6" t="s">
        <v>69</v>
      </c>
      <c r="BB6" t="s">
        <v>75</v>
      </c>
      <c r="BC6" t="s">
        <v>69</v>
      </c>
      <c r="BD6">
        <v>146.18899999999999</v>
      </c>
      <c r="BE6" t="s">
        <v>69</v>
      </c>
      <c r="BF6" t="s">
        <v>69</v>
      </c>
      <c r="BG6">
        <v>344</v>
      </c>
      <c r="BH6" t="s">
        <v>70</v>
      </c>
      <c r="BI6" t="s">
        <v>69</v>
      </c>
      <c r="BJ6" t="s">
        <v>71</v>
      </c>
      <c r="BK6" t="s">
        <v>69</v>
      </c>
      <c r="BL6">
        <v>75.066999999999993</v>
      </c>
      <c r="BM6" t="s">
        <v>69</v>
      </c>
      <c r="BN6" t="s">
        <v>69</v>
      </c>
      <c r="BO6">
        <v>345</v>
      </c>
      <c r="BP6" t="s">
        <v>119</v>
      </c>
      <c r="BQ6" t="s">
        <v>69</v>
      </c>
      <c r="BR6" t="s">
        <v>120</v>
      </c>
      <c r="BS6" t="s">
        <v>69</v>
      </c>
      <c r="BT6">
        <v>147.131</v>
      </c>
      <c r="BU6" t="s">
        <v>69</v>
      </c>
      <c r="BV6" t="s">
        <v>69</v>
      </c>
      <c r="BW6">
        <v>346</v>
      </c>
      <c r="BX6" t="s">
        <v>155</v>
      </c>
      <c r="BY6" t="s">
        <v>69</v>
      </c>
      <c r="BZ6" t="s">
        <v>150</v>
      </c>
      <c r="CA6" t="s">
        <v>69</v>
      </c>
      <c r="CB6">
        <v>105.093</v>
      </c>
      <c r="CC6" t="s">
        <v>69</v>
      </c>
      <c r="CD6" t="s">
        <v>69</v>
      </c>
      <c r="CE6">
        <v>355</v>
      </c>
      <c r="CF6" t="s">
        <v>76</v>
      </c>
      <c r="CG6" t="s">
        <v>69</v>
      </c>
      <c r="CH6" t="s">
        <v>75</v>
      </c>
      <c r="CI6" t="s">
        <v>69</v>
      </c>
      <c r="CJ6">
        <v>146.18899999999999</v>
      </c>
      <c r="CK6" t="s">
        <v>69</v>
      </c>
      <c r="CL6" t="s">
        <v>69</v>
      </c>
    </row>
    <row r="7" spans="1:90" x14ac:dyDescent="0.25">
      <c r="A7">
        <v>7</v>
      </c>
      <c r="B7" t="str">
        <f>HYPERLINK("http://www.ncbi.nlm.nih.gov/protein/XP_008986666.1","XP_008986666.1")</f>
        <v>XP_008986666.1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HYPERLINK("http://www.ncbi.nlm.nih.gov/protein/XP_008986666.1","interferon regulatory factor 3 isoform X4")</f>
        <v>interferon regulatory factor 3 isoform X4</v>
      </c>
      <c r="I7" t="s">
        <v>260</v>
      </c>
      <c r="J7" t="s">
        <v>69</v>
      </c>
      <c r="K7">
        <v>211</v>
      </c>
      <c r="L7" t="s">
        <v>74</v>
      </c>
      <c r="M7" t="s">
        <v>69</v>
      </c>
      <c r="N7" t="s">
        <v>75</v>
      </c>
      <c r="O7" t="s">
        <v>69</v>
      </c>
      <c r="P7">
        <v>174.203</v>
      </c>
      <c r="Q7" t="s">
        <v>69</v>
      </c>
      <c r="R7" t="s">
        <v>69</v>
      </c>
      <c r="S7">
        <v>263</v>
      </c>
      <c r="T7" t="s">
        <v>157</v>
      </c>
      <c r="U7" t="s">
        <v>69</v>
      </c>
      <c r="V7" t="s">
        <v>75</v>
      </c>
      <c r="W7" t="s">
        <v>69</v>
      </c>
      <c r="X7">
        <v>155.15600000000001</v>
      </c>
      <c r="Y7" t="s">
        <v>69</v>
      </c>
      <c r="Z7" t="s">
        <v>69</v>
      </c>
      <c r="AA7">
        <v>285</v>
      </c>
      <c r="AB7" t="s">
        <v>74</v>
      </c>
      <c r="AC7" t="s">
        <v>69</v>
      </c>
      <c r="AD7" t="s">
        <v>75</v>
      </c>
      <c r="AE7" t="s">
        <v>69</v>
      </c>
      <c r="AF7">
        <v>174.203</v>
      </c>
      <c r="AG7" t="s">
        <v>69</v>
      </c>
      <c r="AH7" t="s">
        <v>69</v>
      </c>
      <c r="AI7">
        <v>288</v>
      </c>
      <c r="AJ7" t="s">
        <v>147</v>
      </c>
      <c r="AK7" t="s">
        <v>153</v>
      </c>
      <c r="AL7" t="s">
        <v>148</v>
      </c>
      <c r="AM7" t="s">
        <v>153</v>
      </c>
      <c r="AN7">
        <v>146.14599999999999</v>
      </c>
      <c r="AO7" t="s">
        <v>69</v>
      </c>
      <c r="AP7" t="s">
        <v>69</v>
      </c>
      <c r="AQ7">
        <v>290</v>
      </c>
      <c r="AR7" t="s">
        <v>157</v>
      </c>
      <c r="AS7" t="s">
        <v>69</v>
      </c>
      <c r="AT7" t="s">
        <v>75</v>
      </c>
      <c r="AU7" t="s">
        <v>69</v>
      </c>
      <c r="AV7">
        <v>155.15600000000001</v>
      </c>
      <c r="AW7" t="s">
        <v>69</v>
      </c>
      <c r="AX7" t="s">
        <v>69</v>
      </c>
      <c r="AY7">
        <v>313</v>
      </c>
      <c r="AZ7" t="s">
        <v>76</v>
      </c>
      <c r="BA7" t="s">
        <v>69</v>
      </c>
      <c r="BB7" t="s">
        <v>75</v>
      </c>
      <c r="BC7" t="s">
        <v>69</v>
      </c>
      <c r="BD7">
        <v>146.18899999999999</v>
      </c>
      <c r="BE7" t="s">
        <v>69</v>
      </c>
      <c r="BF7" t="s">
        <v>69</v>
      </c>
      <c r="BG7">
        <v>349</v>
      </c>
      <c r="BH7" t="s">
        <v>70</v>
      </c>
      <c r="BI7" t="s">
        <v>69</v>
      </c>
      <c r="BJ7" t="s">
        <v>71</v>
      </c>
      <c r="BK7" t="s">
        <v>69</v>
      </c>
      <c r="BL7">
        <v>75.066999999999993</v>
      </c>
      <c r="BM7" t="s">
        <v>69</v>
      </c>
      <c r="BN7" t="s">
        <v>69</v>
      </c>
      <c r="BO7">
        <v>350</v>
      </c>
      <c r="BP7" t="s">
        <v>119</v>
      </c>
      <c r="BQ7" t="s">
        <v>69</v>
      </c>
      <c r="BR7" t="s">
        <v>120</v>
      </c>
      <c r="BS7" t="s">
        <v>69</v>
      </c>
      <c r="BT7">
        <v>147.131</v>
      </c>
      <c r="BU7" t="s">
        <v>69</v>
      </c>
      <c r="BV7" t="s">
        <v>69</v>
      </c>
      <c r="BW7">
        <v>351</v>
      </c>
      <c r="BX7" t="s">
        <v>146</v>
      </c>
      <c r="BY7" t="s">
        <v>153</v>
      </c>
      <c r="BZ7" t="s">
        <v>71</v>
      </c>
      <c r="CA7" t="s">
        <v>153</v>
      </c>
      <c r="CB7">
        <v>115.13200000000001</v>
      </c>
      <c r="CC7" t="s">
        <v>69</v>
      </c>
      <c r="CD7" t="s">
        <v>69</v>
      </c>
      <c r="CE7">
        <v>360</v>
      </c>
      <c r="CF7" t="s">
        <v>76</v>
      </c>
      <c r="CG7" t="s">
        <v>69</v>
      </c>
      <c r="CH7" t="s">
        <v>75</v>
      </c>
      <c r="CI7" t="s">
        <v>69</v>
      </c>
      <c r="CJ7">
        <v>146.18899999999999</v>
      </c>
      <c r="CK7" t="s">
        <v>69</v>
      </c>
      <c r="CL7" t="s">
        <v>69</v>
      </c>
    </row>
    <row r="8" spans="1:90" x14ac:dyDescent="0.25">
      <c r="A8">
        <v>7</v>
      </c>
      <c r="B8" t="str">
        <f>HYPERLINK("http://www.ncbi.nlm.nih.gov/protein/XP_047385455.1","XP_047385455.1")</f>
        <v>XP_047385455.1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HYPERLINK("http://www.ncbi.nlm.nih.gov/protein/XP_047385455.1","interferon regulatory factor 3-like isoform X1")</f>
        <v>interferon regulatory factor 3-like isoform X1</v>
      </c>
      <c r="I8" t="s">
        <v>260</v>
      </c>
      <c r="J8" t="s">
        <v>69</v>
      </c>
      <c r="K8">
        <v>210</v>
      </c>
      <c r="L8" t="s">
        <v>74</v>
      </c>
      <c r="M8" t="s">
        <v>69</v>
      </c>
      <c r="N8" t="s">
        <v>75</v>
      </c>
      <c r="O8" t="s">
        <v>69</v>
      </c>
      <c r="P8">
        <v>174.203</v>
      </c>
      <c r="Q8" t="s">
        <v>69</v>
      </c>
      <c r="R8" t="s">
        <v>69</v>
      </c>
      <c r="S8">
        <v>262</v>
      </c>
      <c r="T8" t="s">
        <v>74</v>
      </c>
      <c r="U8" t="s">
        <v>153</v>
      </c>
      <c r="V8" t="s">
        <v>75</v>
      </c>
      <c r="W8" t="s">
        <v>69</v>
      </c>
      <c r="X8">
        <v>174.203</v>
      </c>
      <c r="Y8" t="s">
        <v>69</v>
      </c>
      <c r="Z8" t="s">
        <v>69</v>
      </c>
      <c r="AA8">
        <v>284</v>
      </c>
      <c r="AB8" t="s">
        <v>74</v>
      </c>
      <c r="AC8" t="s">
        <v>69</v>
      </c>
      <c r="AD8" t="s">
        <v>75</v>
      </c>
      <c r="AE8" t="s">
        <v>69</v>
      </c>
      <c r="AF8">
        <v>174.203</v>
      </c>
      <c r="AG8" t="s">
        <v>69</v>
      </c>
      <c r="AH8" t="s">
        <v>69</v>
      </c>
      <c r="AI8">
        <v>287</v>
      </c>
      <c r="AJ8" t="s">
        <v>157</v>
      </c>
      <c r="AK8" t="s">
        <v>69</v>
      </c>
      <c r="AL8" t="s">
        <v>75</v>
      </c>
      <c r="AM8" t="s">
        <v>69</v>
      </c>
      <c r="AN8">
        <v>155.15600000000001</v>
      </c>
      <c r="AO8" t="s">
        <v>69</v>
      </c>
      <c r="AP8" t="s">
        <v>69</v>
      </c>
      <c r="AQ8">
        <v>289</v>
      </c>
      <c r="AR8" t="s">
        <v>157</v>
      </c>
      <c r="AS8" t="s">
        <v>69</v>
      </c>
      <c r="AT8" t="s">
        <v>75</v>
      </c>
      <c r="AU8" t="s">
        <v>69</v>
      </c>
      <c r="AV8">
        <v>155.15600000000001</v>
      </c>
      <c r="AW8" t="s">
        <v>69</v>
      </c>
      <c r="AX8" t="s">
        <v>69</v>
      </c>
      <c r="AY8">
        <v>312</v>
      </c>
      <c r="AZ8" t="s">
        <v>76</v>
      </c>
      <c r="BA8" t="s">
        <v>69</v>
      </c>
      <c r="BB8" t="s">
        <v>75</v>
      </c>
      <c r="BC8" t="s">
        <v>69</v>
      </c>
      <c r="BD8">
        <v>146.18899999999999</v>
      </c>
      <c r="BE8" t="s">
        <v>69</v>
      </c>
      <c r="BF8" t="s">
        <v>69</v>
      </c>
      <c r="BG8">
        <v>348</v>
      </c>
      <c r="BH8" t="s">
        <v>70</v>
      </c>
      <c r="BI8" t="s">
        <v>69</v>
      </c>
      <c r="BJ8" t="s">
        <v>71</v>
      </c>
      <c r="BK8" t="s">
        <v>69</v>
      </c>
      <c r="BL8">
        <v>75.066999999999993</v>
      </c>
      <c r="BM8" t="s">
        <v>69</v>
      </c>
      <c r="BN8" t="s">
        <v>69</v>
      </c>
      <c r="BO8">
        <v>349</v>
      </c>
      <c r="BP8" t="s">
        <v>119</v>
      </c>
      <c r="BQ8" t="s">
        <v>69</v>
      </c>
      <c r="BR8" t="s">
        <v>120</v>
      </c>
      <c r="BS8" t="s">
        <v>69</v>
      </c>
      <c r="BT8">
        <v>147.131</v>
      </c>
      <c r="BU8" t="s">
        <v>69</v>
      </c>
      <c r="BV8" t="s">
        <v>69</v>
      </c>
      <c r="BW8">
        <v>350</v>
      </c>
      <c r="BX8" t="s">
        <v>155</v>
      </c>
      <c r="BY8" t="s">
        <v>69</v>
      </c>
      <c r="BZ8" t="s">
        <v>150</v>
      </c>
      <c r="CA8" t="s">
        <v>69</v>
      </c>
      <c r="CB8">
        <v>105.093</v>
      </c>
      <c r="CC8" t="s">
        <v>69</v>
      </c>
      <c r="CD8" t="s">
        <v>69</v>
      </c>
      <c r="CE8">
        <v>359</v>
      </c>
      <c r="CF8" t="s">
        <v>76</v>
      </c>
      <c r="CG8" t="s">
        <v>69</v>
      </c>
      <c r="CH8" t="s">
        <v>75</v>
      </c>
      <c r="CI8" t="s">
        <v>69</v>
      </c>
      <c r="CJ8">
        <v>146.18899999999999</v>
      </c>
      <c r="CK8" t="s">
        <v>69</v>
      </c>
      <c r="CL8" t="s">
        <v>69</v>
      </c>
    </row>
    <row r="9" spans="1:90" x14ac:dyDescent="0.25">
      <c r="A9">
        <v>7</v>
      </c>
      <c r="B9" t="str">
        <f>HYPERLINK("http://www.ncbi.nlm.nih.gov/protein/XP_006160196.3","XP_006160196.3")</f>
        <v>XP_006160196.3</v>
      </c>
      <c r="C9">
        <v>59507</v>
      </c>
      <c r="D9" t="str">
        <f>HYPERLINK("http://www.ncbi.nlm.nih.gov/Taxonomy/Browser/wwwtax.cgi?mode=Info&amp;id=246437&amp;lvl=3&amp;lin=f&amp;keep=1&amp;srchmode=1&amp;unlock","246437")</f>
        <v>246437</v>
      </c>
      <c r="E9" t="s">
        <v>66</v>
      </c>
      <c r="F9" t="str">
        <f>HYPERLINK("http://www.ncbi.nlm.nih.gov/Taxonomy/Browser/wwwtax.cgi?mode=Info&amp;id=246437&amp;lvl=3&amp;lin=f&amp;keep=1&amp;srchmode=1&amp;unlock","Tupaia chinensis")</f>
        <v>Tupaia chinensis</v>
      </c>
      <c r="G9" t="s">
        <v>97</v>
      </c>
      <c r="H9" t="str">
        <f>HYPERLINK("http://www.ncbi.nlm.nih.gov/protein/XP_006160196.3","interferon regulatory factor 3 isoform X1")</f>
        <v>interferon regulatory factor 3 isoform X1</v>
      </c>
      <c r="I9" t="s">
        <v>260</v>
      </c>
      <c r="J9" t="s">
        <v>153</v>
      </c>
      <c r="K9">
        <v>344</v>
      </c>
      <c r="L9" t="s">
        <v>74</v>
      </c>
      <c r="M9" t="s">
        <v>69</v>
      </c>
      <c r="N9" t="s">
        <v>75</v>
      </c>
      <c r="O9" t="s">
        <v>69</v>
      </c>
      <c r="P9">
        <v>174.203</v>
      </c>
      <c r="Q9" t="s">
        <v>69</v>
      </c>
      <c r="R9" t="s">
        <v>69</v>
      </c>
      <c r="S9">
        <v>396</v>
      </c>
      <c r="T9" t="s">
        <v>74</v>
      </c>
      <c r="U9" t="s">
        <v>153</v>
      </c>
      <c r="V9" t="s">
        <v>75</v>
      </c>
      <c r="W9" t="s">
        <v>69</v>
      </c>
      <c r="X9">
        <v>174.203</v>
      </c>
      <c r="Y9" t="s">
        <v>69</v>
      </c>
      <c r="Z9" t="s">
        <v>69</v>
      </c>
      <c r="AA9">
        <v>418</v>
      </c>
      <c r="AB9" t="s">
        <v>74</v>
      </c>
      <c r="AC9" t="s">
        <v>69</v>
      </c>
      <c r="AD9" t="s">
        <v>75</v>
      </c>
      <c r="AE9" t="s">
        <v>69</v>
      </c>
      <c r="AF9">
        <v>174.203</v>
      </c>
      <c r="AG9" t="s">
        <v>69</v>
      </c>
      <c r="AH9" t="s">
        <v>69</v>
      </c>
      <c r="AI9">
        <v>421</v>
      </c>
      <c r="AJ9" t="s">
        <v>157</v>
      </c>
      <c r="AK9" t="s">
        <v>69</v>
      </c>
      <c r="AL9" t="s">
        <v>75</v>
      </c>
      <c r="AM9" t="s">
        <v>69</v>
      </c>
      <c r="AN9">
        <v>155.15600000000001</v>
      </c>
      <c r="AO9" t="s">
        <v>69</v>
      </c>
      <c r="AP9" t="s">
        <v>69</v>
      </c>
      <c r="AQ9">
        <v>423</v>
      </c>
      <c r="AR9" t="s">
        <v>70</v>
      </c>
      <c r="AS9" t="s">
        <v>153</v>
      </c>
      <c r="AT9" t="s">
        <v>71</v>
      </c>
      <c r="AU9" t="s">
        <v>153</v>
      </c>
      <c r="AV9">
        <v>75.066999999999993</v>
      </c>
      <c r="AW9" t="s">
        <v>153</v>
      </c>
      <c r="AX9" t="s">
        <v>153</v>
      </c>
      <c r="AY9">
        <v>446</v>
      </c>
      <c r="AZ9" t="s">
        <v>76</v>
      </c>
      <c r="BA9" t="s">
        <v>69</v>
      </c>
      <c r="BB9" t="s">
        <v>75</v>
      </c>
      <c r="BC9" t="s">
        <v>69</v>
      </c>
      <c r="BD9">
        <v>146.18899999999999</v>
      </c>
      <c r="BE9" t="s">
        <v>69</v>
      </c>
      <c r="BF9" t="s">
        <v>69</v>
      </c>
      <c r="BG9">
        <v>482</v>
      </c>
      <c r="BH9" t="s">
        <v>70</v>
      </c>
      <c r="BI9" t="s">
        <v>69</v>
      </c>
      <c r="BJ9" t="s">
        <v>71</v>
      </c>
      <c r="BK9" t="s">
        <v>69</v>
      </c>
      <c r="BL9">
        <v>75.066999999999993</v>
      </c>
      <c r="BM9" t="s">
        <v>69</v>
      </c>
      <c r="BN9" t="s">
        <v>69</v>
      </c>
      <c r="BO9">
        <v>483</v>
      </c>
      <c r="BP9" t="s">
        <v>147</v>
      </c>
      <c r="BQ9" t="s">
        <v>153</v>
      </c>
      <c r="BR9" t="s">
        <v>148</v>
      </c>
      <c r="BS9" t="s">
        <v>153</v>
      </c>
      <c r="BT9">
        <v>146.14599999999999</v>
      </c>
      <c r="BU9" t="s">
        <v>69</v>
      </c>
      <c r="BV9" t="s">
        <v>69</v>
      </c>
      <c r="BW9">
        <v>484</v>
      </c>
      <c r="BX9" t="s">
        <v>155</v>
      </c>
      <c r="BY9" t="s">
        <v>69</v>
      </c>
      <c r="BZ9" t="s">
        <v>150</v>
      </c>
      <c r="CA9" t="s">
        <v>69</v>
      </c>
      <c r="CB9">
        <v>105.093</v>
      </c>
      <c r="CC9" t="s">
        <v>69</v>
      </c>
      <c r="CD9" t="s">
        <v>69</v>
      </c>
      <c r="CE9">
        <v>493</v>
      </c>
      <c r="CF9" t="s">
        <v>76</v>
      </c>
      <c r="CG9" t="s">
        <v>69</v>
      </c>
      <c r="CH9" t="s">
        <v>75</v>
      </c>
      <c r="CI9" t="s">
        <v>69</v>
      </c>
      <c r="CJ9">
        <v>146.18899999999999</v>
      </c>
      <c r="CK9" t="s">
        <v>69</v>
      </c>
      <c r="CL9" t="s">
        <v>69</v>
      </c>
    </row>
    <row r="10" spans="1:90" x14ac:dyDescent="0.25">
      <c r="A10">
        <v>7</v>
      </c>
      <c r="B10" t="str">
        <f>HYPERLINK("http://www.ncbi.nlm.nih.gov/protein/XP_036087713.1","XP_036087713.1")</f>
        <v>XP_036087713.1</v>
      </c>
      <c r="C10">
        <v>117142</v>
      </c>
      <c r="D10" t="str">
        <f>HYPERLINK("http://www.ncbi.nlm.nih.gov/Taxonomy/Browser/wwwtax.cgi?mode=Info&amp;id=9407&amp;lvl=3&amp;lin=f&amp;keep=1&amp;srchmode=1&amp;unlock","9407")</f>
        <v>9407</v>
      </c>
      <c r="E10" t="s">
        <v>66</v>
      </c>
      <c r="F10" t="str">
        <f>HYPERLINK("http://www.ncbi.nlm.nih.gov/Taxonomy/Browser/wwwtax.cgi?mode=Info&amp;id=9407&amp;lvl=3&amp;lin=f&amp;keep=1&amp;srchmode=1&amp;unlock","Rousettus aegyptiacus")</f>
        <v>Rousettus aegyptiacus</v>
      </c>
      <c r="G10" t="s">
        <v>103</v>
      </c>
      <c r="H10" t="str">
        <f>HYPERLINK("http://www.ncbi.nlm.nih.gov/protein/XP_036087713.1","interferon regulatory factor 3 isoform X3")</f>
        <v>interferon regulatory factor 3 isoform X3</v>
      </c>
      <c r="I10" t="s">
        <v>260</v>
      </c>
      <c r="J10" t="s">
        <v>69</v>
      </c>
      <c r="K10">
        <v>211</v>
      </c>
      <c r="L10" t="s">
        <v>74</v>
      </c>
      <c r="M10" t="s">
        <v>69</v>
      </c>
      <c r="N10" t="s">
        <v>75</v>
      </c>
      <c r="O10" t="s">
        <v>69</v>
      </c>
      <c r="P10">
        <v>174.203</v>
      </c>
      <c r="Q10" t="s">
        <v>69</v>
      </c>
      <c r="R10" t="s">
        <v>69</v>
      </c>
      <c r="S10">
        <v>263</v>
      </c>
      <c r="T10" t="s">
        <v>74</v>
      </c>
      <c r="U10" t="s">
        <v>153</v>
      </c>
      <c r="V10" t="s">
        <v>75</v>
      </c>
      <c r="W10" t="s">
        <v>69</v>
      </c>
      <c r="X10">
        <v>174.203</v>
      </c>
      <c r="Y10" t="s">
        <v>69</v>
      </c>
      <c r="Z10" t="s">
        <v>69</v>
      </c>
      <c r="AA10">
        <v>285</v>
      </c>
      <c r="AB10" t="s">
        <v>74</v>
      </c>
      <c r="AC10" t="s">
        <v>69</v>
      </c>
      <c r="AD10" t="s">
        <v>75</v>
      </c>
      <c r="AE10" t="s">
        <v>69</v>
      </c>
      <c r="AF10">
        <v>174.203</v>
      </c>
      <c r="AG10" t="s">
        <v>69</v>
      </c>
      <c r="AH10" t="s">
        <v>69</v>
      </c>
      <c r="AI10">
        <v>288</v>
      </c>
      <c r="AJ10" t="s">
        <v>157</v>
      </c>
      <c r="AK10" t="s">
        <v>69</v>
      </c>
      <c r="AL10" t="s">
        <v>75</v>
      </c>
      <c r="AM10" t="s">
        <v>69</v>
      </c>
      <c r="AN10">
        <v>155.15600000000001</v>
      </c>
      <c r="AO10" t="s">
        <v>69</v>
      </c>
      <c r="AP10" t="s">
        <v>69</v>
      </c>
      <c r="AQ10">
        <v>290</v>
      </c>
      <c r="AR10" t="s">
        <v>157</v>
      </c>
      <c r="AS10" t="s">
        <v>69</v>
      </c>
      <c r="AT10" t="s">
        <v>75</v>
      </c>
      <c r="AU10" t="s">
        <v>69</v>
      </c>
      <c r="AV10">
        <v>155.15600000000001</v>
      </c>
      <c r="AW10" t="s">
        <v>69</v>
      </c>
      <c r="AX10" t="s">
        <v>69</v>
      </c>
      <c r="AY10">
        <v>313</v>
      </c>
      <c r="AZ10" t="s">
        <v>76</v>
      </c>
      <c r="BA10" t="s">
        <v>69</v>
      </c>
      <c r="BB10" t="s">
        <v>75</v>
      </c>
      <c r="BC10" t="s">
        <v>69</v>
      </c>
      <c r="BD10">
        <v>146.18899999999999</v>
      </c>
      <c r="BE10" t="s">
        <v>69</v>
      </c>
      <c r="BF10" t="s">
        <v>69</v>
      </c>
      <c r="BG10">
        <v>349</v>
      </c>
      <c r="BH10" t="s">
        <v>70</v>
      </c>
      <c r="BI10" t="s">
        <v>69</v>
      </c>
      <c r="BJ10" t="s">
        <v>71</v>
      </c>
      <c r="BK10" t="s">
        <v>69</v>
      </c>
      <c r="BL10">
        <v>75.066999999999993</v>
      </c>
      <c r="BM10" t="s">
        <v>69</v>
      </c>
      <c r="BN10" t="s">
        <v>69</v>
      </c>
      <c r="BO10">
        <v>350</v>
      </c>
      <c r="BP10" t="s">
        <v>119</v>
      </c>
      <c r="BQ10" t="s">
        <v>69</v>
      </c>
      <c r="BR10" t="s">
        <v>120</v>
      </c>
      <c r="BS10" t="s">
        <v>69</v>
      </c>
      <c r="BT10">
        <v>147.131</v>
      </c>
      <c r="BU10" t="s">
        <v>69</v>
      </c>
      <c r="BV10" t="s">
        <v>69</v>
      </c>
      <c r="BW10">
        <v>351</v>
      </c>
      <c r="BX10" t="s">
        <v>155</v>
      </c>
      <c r="BY10" t="s">
        <v>69</v>
      </c>
      <c r="BZ10" t="s">
        <v>150</v>
      </c>
      <c r="CA10" t="s">
        <v>69</v>
      </c>
      <c r="CB10">
        <v>105.093</v>
      </c>
      <c r="CC10" t="s">
        <v>69</v>
      </c>
      <c r="CD10" t="s">
        <v>69</v>
      </c>
      <c r="CE10">
        <v>360</v>
      </c>
      <c r="CF10" t="s">
        <v>76</v>
      </c>
      <c r="CG10" t="s">
        <v>69</v>
      </c>
      <c r="CH10" t="s">
        <v>75</v>
      </c>
      <c r="CI10" t="s">
        <v>69</v>
      </c>
      <c r="CJ10">
        <v>146.18899999999999</v>
      </c>
      <c r="CK10" t="s">
        <v>69</v>
      </c>
      <c r="CL10" t="s">
        <v>69</v>
      </c>
    </row>
    <row r="11" spans="1:90" x14ac:dyDescent="0.25">
      <c r="A11">
        <v>7</v>
      </c>
      <c r="B11" t="str">
        <f>HYPERLINK("http://www.ncbi.nlm.nih.gov/protein/XP_046933582.1","XP_046933582.1")</f>
        <v>XP_046933582.1</v>
      </c>
      <c r="C11">
        <v>38764</v>
      </c>
      <c r="D11" t="str">
        <f>HYPERLINK("http://www.ncbi.nlm.nih.gov/Taxonomy/Browser/wwwtax.cgi?mode=Info&amp;id=61384&amp;lvl=3&amp;lin=f&amp;keep=1&amp;srchmode=1&amp;unlock","61384")</f>
        <v>61384</v>
      </c>
      <c r="E11" t="s">
        <v>66</v>
      </c>
      <c r="F11" t="str">
        <f>HYPERLINK("http://www.ncbi.nlm.nih.gov/Taxonomy/Browser/wwwtax.cgi?mode=Info&amp;id=61384&amp;lvl=3&amp;lin=f&amp;keep=1&amp;srchmode=1&amp;unlock","Lynx rufus")</f>
        <v>Lynx rufus</v>
      </c>
      <c r="G11" t="s">
        <v>93</v>
      </c>
      <c r="H11" t="str">
        <f>HYPERLINK("http://www.ncbi.nlm.nih.gov/protein/XP_046933582.1","interferon regulatory factor 3-like isoform X3")</f>
        <v>interferon regulatory factor 3-like isoform X3</v>
      </c>
      <c r="I11" t="s">
        <v>260</v>
      </c>
      <c r="J11" t="s">
        <v>69</v>
      </c>
      <c r="K11">
        <v>226</v>
      </c>
      <c r="L11" t="s">
        <v>74</v>
      </c>
      <c r="M11" t="s">
        <v>69</v>
      </c>
      <c r="N11" t="s">
        <v>75</v>
      </c>
      <c r="O11" t="s">
        <v>69</v>
      </c>
      <c r="P11">
        <v>174.203</v>
      </c>
      <c r="Q11" t="s">
        <v>69</v>
      </c>
      <c r="R11" t="s">
        <v>69</v>
      </c>
      <c r="S11">
        <v>277</v>
      </c>
      <c r="T11" t="s">
        <v>74</v>
      </c>
      <c r="U11" t="s">
        <v>153</v>
      </c>
      <c r="V11" t="s">
        <v>75</v>
      </c>
      <c r="W11" t="s">
        <v>69</v>
      </c>
      <c r="X11">
        <v>174.203</v>
      </c>
      <c r="Y11" t="s">
        <v>69</v>
      </c>
      <c r="Z11" t="s">
        <v>69</v>
      </c>
      <c r="AA11">
        <v>299</v>
      </c>
      <c r="AB11" t="s">
        <v>74</v>
      </c>
      <c r="AC11" t="s">
        <v>69</v>
      </c>
      <c r="AD11" t="s">
        <v>75</v>
      </c>
      <c r="AE11" t="s">
        <v>69</v>
      </c>
      <c r="AF11">
        <v>174.203</v>
      </c>
      <c r="AG11" t="s">
        <v>69</v>
      </c>
      <c r="AH11" t="s">
        <v>69</v>
      </c>
      <c r="AI11">
        <v>302</v>
      </c>
      <c r="AJ11" t="s">
        <v>157</v>
      </c>
      <c r="AK11" t="s">
        <v>69</v>
      </c>
      <c r="AL11" t="s">
        <v>75</v>
      </c>
      <c r="AM11" t="s">
        <v>69</v>
      </c>
      <c r="AN11">
        <v>155.15600000000001</v>
      </c>
      <c r="AO11" t="s">
        <v>69</v>
      </c>
      <c r="AP11" t="s">
        <v>69</v>
      </c>
      <c r="AQ11">
        <v>304</v>
      </c>
      <c r="AR11" t="s">
        <v>157</v>
      </c>
      <c r="AS11" t="s">
        <v>69</v>
      </c>
      <c r="AT11" t="s">
        <v>75</v>
      </c>
      <c r="AU11" t="s">
        <v>69</v>
      </c>
      <c r="AV11">
        <v>155.15600000000001</v>
      </c>
      <c r="AW11" t="s">
        <v>69</v>
      </c>
      <c r="AX11" t="s">
        <v>69</v>
      </c>
      <c r="AY11">
        <v>327</v>
      </c>
      <c r="AZ11" t="s">
        <v>76</v>
      </c>
      <c r="BA11" t="s">
        <v>69</v>
      </c>
      <c r="BB11" t="s">
        <v>75</v>
      </c>
      <c r="BC11" t="s">
        <v>69</v>
      </c>
      <c r="BD11">
        <v>146.18899999999999</v>
      </c>
      <c r="BE11" t="s">
        <v>69</v>
      </c>
      <c r="BF11" t="s">
        <v>69</v>
      </c>
      <c r="BG11">
        <v>363</v>
      </c>
      <c r="BH11" t="s">
        <v>70</v>
      </c>
      <c r="BI11" t="s">
        <v>69</v>
      </c>
      <c r="BJ11" t="s">
        <v>71</v>
      </c>
      <c r="BK11" t="s">
        <v>69</v>
      </c>
      <c r="BL11">
        <v>75.066999999999993</v>
      </c>
      <c r="BM11" t="s">
        <v>69</v>
      </c>
      <c r="BN11" t="s">
        <v>69</v>
      </c>
      <c r="BO11">
        <v>364</v>
      </c>
      <c r="BP11" t="s">
        <v>119</v>
      </c>
      <c r="BQ11" t="s">
        <v>69</v>
      </c>
      <c r="BR11" t="s">
        <v>120</v>
      </c>
      <c r="BS11" t="s">
        <v>69</v>
      </c>
      <c r="BT11">
        <v>147.131</v>
      </c>
      <c r="BU11" t="s">
        <v>69</v>
      </c>
      <c r="BV11" t="s">
        <v>69</v>
      </c>
      <c r="BW11">
        <v>365</v>
      </c>
      <c r="BX11" t="s">
        <v>146</v>
      </c>
      <c r="BY11" t="s">
        <v>153</v>
      </c>
      <c r="BZ11" t="s">
        <v>71</v>
      </c>
      <c r="CA11" t="s">
        <v>153</v>
      </c>
      <c r="CB11">
        <v>115.13200000000001</v>
      </c>
      <c r="CC11" t="s">
        <v>69</v>
      </c>
      <c r="CD11" t="s">
        <v>69</v>
      </c>
      <c r="CE11">
        <v>374</v>
      </c>
      <c r="CF11" t="s">
        <v>76</v>
      </c>
      <c r="CG11" t="s">
        <v>69</v>
      </c>
      <c r="CH11" t="s">
        <v>75</v>
      </c>
      <c r="CI11" t="s">
        <v>69</v>
      </c>
      <c r="CJ11">
        <v>146.18899999999999</v>
      </c>
      <c r="CK11" t="s">
        <v>69</v>
      </c>
      <c r="CL11" t="s">
        <v>69</v>
      </c>
    </row>
    <row r="12" spans="1:90" x14ac:dyDescent="0.25">
      <c r="A12">
        <v>7</v>
      </c>
      <c r="B12" t="str">
        <f>HYPERLINK("http://www.ncbi.nlm.nih.gov/protein/XP_032447136.1","XP_032447136.1")</f>
        <v>XP_032447136.1</v>
      </c>
      <c r="C12">
        <v>42175</v>
      </c>
      <c r="D12" t="str">
        <f>HYPERLINK("http://www.ncbi.nlm.nih.gov/Taxonomy/Browser/wwwtax.cgi?mode=Info&amp;id=61383&amp;lvl=3&amp;lin=f&amp;keep=1&amp;srchmode=1&amp;unlock","61383")</f>
        <v>61383</v>
      </c>
      <c r="E12" t="s">
        <v>66</v>
      </c>
      <c r="F12" t="str">
        <f>HYPERLINK("http://www.ncbi.nlm.nih.gov/Taxonomy/Browser/wwwtax.cgi?mode=Info&amp;id=61383&amp;lvl=3&amp;lin=f&amp;keep=1&amp;srchmode=1&amp;unlock","Lynx canadensis")</f>
        <v>Lynx canadensis</v>
      </c>
      <c r="G12" t="s">
        <v>105</v>
      </c>
      <c r="H12" t="str">
        <f>HYPERLINK("http://www.ncbi.nlm.nih.gov/protein/XP_032447136.1","interferon regulatory factor 3 isoform X4")</f>
        <v>interferon regulatory factor 3 isoform X4</v>
      </c>
      <c r="I12" t="s">
        <v>260</v>
      </c>
      <c r="J12" t="s">
        <v>69</v>
      </c>
      <c r="K12">
        <v>211</v>
      </c>
      <c r="L12" t="s">
        <v>74</v>
      </c>
      <c r="M12" t="s">
        <v>69</v>
      </c>
      <c r="N12" t="s">
        <v>75</v>
      </c>
      <c r="O12" t="s">
        <v>69</v>
      </c>
      <c r="P12">
        <v>174.203</v>
      </c>
      <c r="Q12" t="s">
        <v>69</v>
      </c>
      <c r="R12" t="s">
        <v>69</v>
      </c>
      <c r="S12">
        <v>262</v>
      </c>
      <c r="T12" t="s">
        <v>74</v>
      </c>
      <c r="U12" t="s">
        <v>153</v>
      </c>
      <c r="V12" t="s">
        <v>75</v>
      </c>
      <c r="W12" t="s">
        <v>69</v>
      </c>
      <c r="X12">
        <v>174.203</v>
      </c>
      <c r="Y12" t="s">
        <v>69</v>
      </c>
      <c r="Z12" t="s">
        <v>69</v>
      </c>
      <c r="AA12">
        <v>284</v>
      </c>
      <c r="AB12" t="s">
        <v>74</v>
      </c>
      <c r="AC12" t="s">
        <v>69</v>
      </c>
      <c r="AD12" t="s">
        <v>75</v>
      </c>
      <c r="AE12" t="s">
        <v>69</v>
      </c>
      <c r="AF12">
        <v>174.203</v>
      </c>
      <c r="AG12" t="s">
        <v>69</v>
      </c>
      <c r="AH12" t="s">
        <v>69</v>
      </c>
      <c r="AI12">
        <v>287</v>
      </c>
      <c r="AJ12" t="s">
        <v>157</v>
      </c>
      <c r="AK12" t="s">
        <v>69</v>
      </c>
      <c r="AL12" t="s">
        <v>75</v>
      </c>
      <c r="AM12" t="s">
        <v>69</v>
      </c>
      <c r="AN12">
        <v>155.15600000000001</v>
      </c>
      <c r="AO12" t="s">
        <v>69</v>
      </c>
      <c r="AP12" t="s">
        <v>69</v>
      </c>
      <c r="AQ12">
        <v>289</v>
      </c>
      <c r="AR12" t="s">
        <v>157</v>
      </c>
      <c r="AS12" t="s">
        <v>69</v>
      </c>
      <c r="AT12" t="s">
        <v>75</v>
      </c>
      <c r="AU12" t="s">
        <v>69</v>
      </c>
      <c r="AV12">
        <v>155.15600000000001</v>
      </c>
      <c r="AW12" t="s">
        <v>69</v>
      </c>
      <c r="AX12" t="s">
        <v>69</v>
      </c>
      <c r="AY12">
        <v>312</v>
      </c>
      <c r="AZ12" t="s">
        <v>76</v>
      </c>
      <c r="BA12" t="s">
        <v>69</v>
      </c>
      <c r="BB12" t="s">
        <v>75</v>
      </c>
      <c r="BC12" t="s">
        <v>69</v>
      </c>
      <c r="BD12">
        <v>146.18899999999999</v>
      </c>
      <c r="BE12" t="s">
        <v>69</v>
      </c>
      <c r="BF12" t="s">
        <v>69</v>
      </c>
      <c r="BG12">
        <v>348</v>
      </c>
      <c r="BH12" t="s">
        <v>70</v>
      </c>
      <c r="BI12" t="s">
        <v>69</v>
      </c>
      <c r="BJ12" t="s">
        <v>71</v>
      </c>
      <c r="BK12" t="s">
        <v>69</v>
      </c>
      <c r="BL12">
        <v>75.066999999999993</v>
      </c>
      <c r="BM12" t="s">
        <v>69</v>
      </c>
      <c r="BN12" t="s">
        <v>69</v>
      </c>
      <c r="BO12">
        <v>349</v>
      </c>
      <c r="BP12" t="s">
        <v>119</v>
      </c>
      <c r="BQ12" t="s">
        <v>69</v>
      </c>
      <c r="BR12" t="s">
        <v>120</v>
      </c>
      <c r="BS12" t="s">
        <v>69</v>
      </c>
      <c r="BT12">
        <v>147.131</v>
      </c>
      <c r="BU12" t="s">
        <v>69</v>
      </c>
      <c r="BV12" t="s">
        <v>69</v>
      </c>
      <c r="BW12">
        <v>350</v>
      </c>
      <c r="BX12" t="s">
        <v>146</v>
      </c>
      <c r="BY12" t="s">
        <v>153</v>
      </c>
      <c r="BZ12" t="s">
        <v>71</v>
      </c>
      <c r="CA12" t="s">
        <v>153</v>
      </c>
      <c r="CB12">
        <v>115.13200000000001</v>
      </c>
      <c r="CC12" t="s">
        <v>69</v>
      </c>
      <c r="CD12" t="s">
        <v>69</v>
      </c>
      <c r="CE12">
        <v>359</v>
      </c>
      <c r="CF12" t="s">
        <v>76</v>
      </c>
      <c r="CG12" t="s">
        <v>69</v>
      </c>
      <c r="CH12" t="s">
        <v>75</v>
      </c>
      <c r="CI12" t="s">
        <v>69</v>
      </c>
      <c r="CJ12">
        <v>146.18899999999999</v>
      </c>
      <c r="CK12" t="s">
        <v>69</v>
      </c>
      <c r="CL12" t="s">
        <v>69</v>
      </c>
    </row>
    <row r="13" spans="1:90" x14ac:dyDescent="0.25">
      <c r="A13">
        <v>7</v>
      </c>
      <c r="B13" t="str">
        <f>HYPERLINK("http://www.ncbi.nlm.nih.gov/protein/XP_007074239.2","XP_007074239.2")</f>
        <v>XP_007074239.2</v>
      </c>
      <c r="C13">
        <v>56089</v>
      </c>
      <c r="D13" t="str">
        <f>HYPERLINK("http://www.ncbi.nlm.nih.gov/Taxonomy/Browser/wwwtax.cgi?mode=Info&amp;id=9694&amp;lvl=3&amp;lin=f&amp;keep=1&amp;srchmode=1&amp;unlock","9694")</f>
        <v>9694</v>
      </c>
      <c r="E13" t="s">
        <v>66</v>
      </c>
      <c r="F13" t="str">
        <f>HYPERLINK("http://www.ncbi.nlm.nih.gov/Taxonomy/Browser/wwwtax.cgi?mode=Info&amp;id=9694&amp;lvl=3&amp;lin=f&amp;keep=1&amp;srchmode=1&amp;unlock","Panthera tigris")</f>
        <v>Panthera tigris</v>
      </c>
      <c r="G13" t="s">
        <v>89</v>
      </c>
      <c r="H13" t="str">
        <f>HYPERLINK("http://www.ncbi.nlm.nih.gov/protein/XP_007074239.2","interferon regulatory factor 3 isoform X2")</f>
        <v>interferon regulatory factor 3 isoform X2</v>
      </c>
      <c r="I13" t="s">
        <v>260</v>
      </c>
      <c r="J13" t="s">
        <v>69</v>
      </c>
      <c r="K13">
        <v>211</v>
      </c>
      <c r="L13" t="s">
        <v>74</v>
      </c>
      <c r="M13" t="s">
        <v>69</v>
      </c>
      <c r="N13" t="s">
        <v>75</v>
      </c>
      <c r="O13" t="s">
        <v>69</v>
      </c>
      <c r="P13">
        <v>174.203</v>
      </c>
      <c r="Q13" t="s">
        <v>69</v>
      </c>
      <c r="R13" t="s">
        <v>69</v>
      </c>
      <c r="S13">
        <v>262</v>
      </c>
      <c r="T13" t="s">
        <v>74</v>
      </c>
      <c r="U13" t="s">
        <v>153</v>
      </c>
      <c r="V13" t="s">
        <v>75</v>
      </c>
      <c r="W13" t="s">
        <v>69</v>
      </c>
      <c r="X13">
        <v>174.203</v>
      </c>
      <c r="Y13" t="s">
        <v>69</v>
      </c>
      <c r="Z13" t="s">
        <v>69</v>
      </c>
      <c r="AA13">
        <v>284</v>
      </c>
      <c r="AB13" t="s">
        <v>74</v>
      </c>
      <c r="AC13" t="s">
        <v>69</v>
      </c>
      <c r="AD13" t="s">
        <v>75</v>
      </c>
      <c r="AE13" t="s">
        <v>69</v>
      </c>
      <c r="AF13">
        <v>174.203</v>
      </c>
      <c r="AG13" t="s">
        <v>69</v>
      </c>
      <c r="AH13" t="s">
        <v>69</v>
      </c>
      <c r="AI13">
        <v>287</v>
      </c>
      <c r="AJ13" t="s">
        <v>157</v>
      </c>
      <c r="AK13" t="s">
        <v>69</v>
      </c>
      <c r="AL13" t="s">
        <v>75</v>
      </c>
      <c r="AM13" t="s">
        <v>69</v>
      </c>
      <c r="AN13">
        <v>155.15600000000001</v>
      </c>
      <c r="AO13" t="s">
        <v>69</v>
      </c>
      <c r="AP13" t="s">
        <v>69</v>
      </c>
      <c r="AQ13">
        <v>289</v>
      </c>
      <c r="AR13" t="s">
        <v>157</v>
      </c>
      <c r="AS13" t="s">
        <v>69</v>
      </c>
      <c r="AT13" t="s">
        <v>75</v>
      </c>
      <c r="AU13" t="s">
        <v>69</v>
      </c>
      <c r="AV13">
        <v>155.15600000000001</v>
      </c>
      <c r="AW13" t="s">
        <v>69</v>
      </c>
      <c r="AX13" t="s">
        <v>69</v>
      </c>
      <c r="AY13">
        <v>312</v>
      </c>
      <c r="AZ13" t="s">
        <v>76</v>
      </c>
      <c r="BA13" t="s">
        <v>69</v>
      </c>
      <c r="BB13" t="s">
        <v>75</v>
      </c>
      <c r="BC13" t="s">
        <v>69</v>
      </c>
      <c r="BD13">
        <v>146.18899999999999</v>
      </c>
      <c r="BE13" t="s">
        <v>69</v>
      </c>
      <c r="BF13" t="s">
        <v>69</v>
      </c>
      <c r="BG13">
        <v>348</v>
      </c>
      <c r="BH13" t="s">
        <v>70</v>
      </c>
      <c r="BI13" t="s">
        <v>69</v>
      </c>
      <c r="BJ13" t="s">
        <v>71</v>
      </c>
      <c r="BK13" t="s">
        <v>69</v>
      </c>
      <c r="BL13">
        <v>75.066999999999993</v>
      </c>
      <c r="BM13" t="s">
        <v>69</v>
      </c>
      <c r="BN13" t="s">
        <v>69</v>
      </c>
      <c r="BO13">
        <v>349</v>
      </c>
      <c r="BP13" t="s">
        <v>119</v>
      </c>
      <c r="BQ13" t="s">
        <v>69</v>
      </c>
      <c r="BR13" t="s">
        <v>120</v>
      </c>
      <c r="BS13" t="s">
        <v>69</v>
      </c>
      <c r="BT13">
        <v>147.131</v>
      </c>
      <c r="BU13" t="s">
        <v>69</v>
      </c>
      <c r="BV13" t="s">
        <v>69</v>
      </c>
      <c r="BW13">
        <v>350</v>
      </c>
      <c r="BX13" t="s">
        <v>146</v>
      </c>
      <c r="BY13" t="s">
        <v>153</v>
      </c>
      <c r="BZ13" t="s">
        <v>71</v>
      </c>
      <c r="CA13" t="s">
        <v>153</v>
      </c>
      <c r="CB13">
        <v>115.13200000000001</v>
      </c>
      <c r="CC13" t="s">
        <v>69</v>
      </c>
      <c r="CD13" t="s">
        <v>69</v>
      </c>
      <c r="CE13">
        <v>359</v>
      </c>
      <c r="CF13" t="s">
        <v>76</v>
      </c>
      <c r="CG13" t="s">
        <v>69</v>
      </c>
      <c r="CH13" t="s">
        <v>75</v>
      </c>
      <c r="CI13" t="s">
        <v>69</v>
      </c>
      <c r="CJ13">
        <v>146.18899999999999</v>
      </c>
      <c r="CK13" t="s">
        <v>69</v>
      </c>
      <c r="CL13" t="s">
        <v>69</v>
      </c>
    </row>
    <row r="14" spans="1:90" x14ac:dyDescent="0.25">
      <c r="A14">
        <v>7</v>
      </c>
      <c r="B14" t="str">
        <f>HYPERLINK("http://www.ncbi.nlm.nih.gov/protein/XP_042775262.1","XP_042775262.1")</f>
        <v>XP_042775262.1</v>
      </c>
      <c r="C14">
        <v>53677</v>
      </c>
      <c r="D14" t="str">
        <f>HYPERLINK("http://www.ncbi.nlm.nih.gov/Taxonomy/Browser/wwwtax.cgi?mode=Info&amp;id=9689&amp;lvl=3&amp;lin=f&amp;keep=1&amp;srchmode=1&amp;unlock","9689")</f>
        <v>9689</v>
      </c>
      <c r="E14" t="s">
        <v>66</v>
      </c>
      <c r="F14" t="str">
        <f>HYPERLINK("http://www.ncbi.nlm.nih.gov/Taxonomy/Browser/wwwtax.cgi?mode=Info&amp;id=9689&amp;lvl=3&amp;lin=f&amp;keep=1&amp;srchmode=1&amp;unlock","Panthera leo")</f>
        <v>Panthera leo</v>
      </c>
      <c r="G14" t="s">
        <v>90</v>
      </c>
      <c r="H14" t="str">
        <f>HYPERLINK("http://www.ncbi.nlm.nih.gov/protein/XP_042775262.1","interferon regulatory factor 3 isoform X3")</f>
        <v>interferon regulatory factor 3 isoform X3</v>
      </c>
      <c r="I14" t="s">
        <v>260</v>
      </c>
      <c r="J14" t="s">
        <v>69</v>
      </c>
      <c r="K14">
        <v>211</v>
      </c>
      <c r="L14" t="s">
        <v>74</v>
      </c>
      <c r="M14" t="s">
        <v>69</v>
      </c>
      <c r="N14" t="s">
        <v>75</v>
      </c>
      <c r="O14" t="s">
        <v>69</v>
      </c>
      <c r="P14">
        <v>174.203</v>
      </c>
      <c r="Q14" t="s">
        <v>69</v>
      </c>
      <c r="R14" t="s">
        <v>69</v>
      </c>
      <c r="S14">
        <v>262</v>
      </c>
      <c r="T14" t="s">
        <v>74</v>
      </c>
      <c r="U14" t="s">
        <v>153</v>
      </c>
      <c r="V14" t="s">
        <v>75</v>
      </c>
      <c r="W14" t="s">
        <v>69</v>
      </c>
      <c r="X14">
        <v>174.203</v>
      </c>
      <c r="Y14" t="s">
        <v>69</v>
      </c>
      <c r="Z14" t="s">
        <v>69</v>
      </c>
      <c r="AA14">
        <v>284</v>
      </c>
      <c r="AB14" t="s">
        <v>74</v>
      </c>
      <c r="AC14" t="s">
        <v>69</v>
      </c>
      <c r="AD14" t="s">
        <v>75</v>
      </c>
      <c r="AE14" t="s">
        <v>69</v>
      </c>
      <c r="AF14">
        <v>174.203</v>
      </c>
      <c r="AG14" t="s">
        <v>69</v>
      </c>
      <c r="AH14" t="s">
        <v>69</v>
      </c>
      <c r="AI14">
        <v>287</v>
      </c>
      <c r="AJ14" t="s">
        <v>157</v>
      </c>
      <c r="AK14" t="s">
        <v>69</v>
      </c>
      <c r="AL14" t="s">
        <v>75</v>
      </c>
      <c r="AM14" t="s">
        <v>69</v>
      </c>
      <c r="AN14">
        <v>155.15600000000001</v>
      </c>
      <c r="AO14" t="s">
        <v>69</v>
      </c>
      <c r="AP14" t="s">
        <v>69</v>
      </c>
      <c r="AQ14">
        <v>289</v>
      </c>
      <c r="AR14" t="s">
        <v>157</v>
      </c>
      <c r="AS14" t="s">
        <v>69</v>
      </c>
      <c r="AT14" t="s">
        <v>75</v>
      </c>
      <c r="AU14" t="s">
        <v>69</v>
      </c>
      <c r="AV14">
        <v>155.15600000000001</v>
      </c>
      <c r="AW14" t="s">
        <v>69</v>
      </c>
      <c r="AX14" t="s">
        <v>69</v>
      </c>
      <c r="AY14">
        <v>312</v>
      </c>
      <c r="AZ14" t="s">
        <v>76</v>
      </c>
      <c r="BA14" t="s">
        <v>69</v>
      </c>
      <c r="BB14" t="s">
        <v>75</v>
      </c>
      <c r="BC14" t="s">
        <v>69</v>
      </c>
      <c r="BD14">
        <v>146.18899999999999</v>
      </c>
      <c r="BE14" t="s">
        <v>69</v>
      </c>
      <c r="BF14" t="s">
        <v>69</v>
      </c>
      <c r="BG14">
        <v>348</v>
      </c>
      <c r="BH14" t="s">
        <v>70</v>
      </c>
      <c r="BI14" t="s">
        <v>69</v>
      </c>
      <c r="BJ14" t="s">
        <v>71</v>
      </c>
      <c r="BK14" t="s">
        <v>69</v>
      </c>
      <c r="BL14">
        <v>75.066999999999993</v>
      </c>
      <c r="BM14" t="s">
        <v>69</v>
      </c>
      <c r="BN14" t="s">
        <v>69</v>
      </c>
      <c r="BO14">
        <v>349</v>
      </c>
      <c r="BP14" t="s">
        <v>119</v>
      </c>
      <c r="BQ14" t="s">
        <v>69</v>
      </c>
      <c r="BR14" t="s">
        <v>120</v>
      </c>
      <c r="BS14" t="s">
        <v>69</v>
      </c>
      <c r="BT14">
        <v>147.131</v>
      </c>
      <c r="BU14" t="s">
        <v>69</v>
      </c>
      <c r="BV14" t="s">
        <v>69</v>
      </c>
      <c r="BW14">
        <v>350</v>
      </c>
      <c r="BX14" t="s">
        <v>146</v>
      </c>
      <c r="BY14" t="s">
        <v>153</v>
      </c>
      <c r="BZ14" t="s">
        <v>71</v>
      </c>
      <c r="CA14" t="s">
        <v>153</v>
      </c>
      <c r="CB14">
        <v>115.13200000000001</v>
      </c>
      <c r="CC14" t="s">
        <v>69</v>
      </c>
      <c r="CD14" t="s">
        <v>69</v>
      </c>
      <c r="CE14">
        <v>359</v>
      </c>
      <c r="CF14" t="s">
        <v>76</v>
      </c>
      <c r="CG14" t="s">
        <v>69</v>
      </c>
      <c r="CH14" t="s">
        <v>75</v>
      </c>
      <c r="CI14" t="s">
        <v>69</v>
      </c>
      <c r="CJ14">
        <v>146.18899999999999</v>
      </c>
      <c r="CK14" t="s">
        <v>69</v>
      </c>
      <c r="CL14" t="s">
        <v>69</v>
      </c>
    </row>
    <row r="15" spans="1:90" x14ac:dyDescent="0.25">
      <c r="A15">
        <v>7</v>
      </c>
      <c r="B15" t="str">
        <f>HYPERLINK("http://www.ncbi.nlm.nih.gov/protein/XP_019674768.2","XP_019674768.2")</f>
        <v>XP_019674768.2</v>
      </c>
      <c r="C15">
        <v>74287</v>
      </c>
      <c r="D15" t="str">
        <f>HYPERLINK("http://www.ncbi.nlm.nih.gov/Taxonomy/Browser/wwwtax.cgi?mode=Info&amp;id=9685&amp;lvl=3&amp;lin=f&amp;keep=1&amp;srchmode=1&amp;unlock","9685")</f>
        <v>9685</v>
      </c>
      <c r="E15" t="s">
        <v>66</v>
      </c>
      <c r="F15" t="str">
        <f>HYPERLINK("http://www.ncbi.nlm.nih.gov/Taxonomy/Browser/wwwtax.cgi?mode=Info&amp;id=9685&amp;lvl=3&amp;lin=f&amp;keep=1&amp;srchmode=1&amp;unlock","Felis catus")</f>
        <v>Felis catus</v>
      </c>
      <c r="G15" t="s">
        <v>86</v>
      </c>
      <c r="H15" t="str">
        <f>HYPERLINK("http://www.ncbi.nlm.nih.gov/protein/XP_019674768.2","interferon regulatory factor 3 isoform X3")</f>
        <v>interferon regulatory factor 3 isoform X3</v>
      </c>
      <c r="I15" t="s">
        <v>260</v>
      </c>
      <c r="J15" t="s">
        <v>69</v>
      </c>
      <c r="K15">
        <v>241</v>
      </c>
      <c r="L15" t="s">
        <v>74</v>
      </c>
      <c r="M15" t="s">
        <v>69</v>
      </c>
      <c r="N15" t="s">
        <v>75</v>
      </c>
      <c r="O15" t="s">
        <v>69</v>
      </c>
      <c r="P15">
        <v>174.203</v>
      </c>
      <c r="Q15" t="s">
        <v>69</v>
      </c>
      <c r="R15" t="s">
        <v>69</v>
      </c>
      <c r="S15">
        <v>292</v>
      </c>
      <c r="T15" t="s">
        <v>74</v>
      </c>
      <c r="U15" t="s">
        <v>153</v>
      </c>
      <c r="V15" t="s">
        <v>75</v>
      </c>
      <c r="W15" t="s">
        <v>69</v>
      </c>
      <c r="X15">
        <v>174.203</v>
      </c>
      <c r="Y15" t="s">
        <v>69</v>
      </c>
      <c r="Z15" t="s">
        <v>69</v>
      </c>
      <c r="AA15">
        <v>314</v>
      </c>
      <c r="AB15" t="s">
        <v>74</v>
      </c>
      <c r="AC15" t="s">
        <v>69</v>
      </c>
      <c r="AD15" t="s">
        <v>75</v>
      </c>
      <c r="AE15" t="s">
        <v>69</v>
      </c>
      <c r="AF15">
        <v>174.203</v>
      </c>
      <c r="AG15" t="s">
        <v>69</v>
      </c>
      <c r="AH15" t="s">
        <v>69</v>
      </c>
      <c r="AI15">
        <v>317</v>
      </c>
      <c r="AJ15" t="s">
        <v>157</v>
      </c>
      <c r="AK15" t="s">
        <v>69</v>
      </c>
      <c r="AL15" t="s">
        <v>75</v>
      </c>
      <c r="AM15" t="s">
        <v>69</v>
      </c>
      <c r="AN15">
        <v>155.15600000000001</v>
      </c>
      <c r="AO15" t="s">
        <v>69</v>
      </c>
      <c r="AP15" t="s">
        <v>69</v>
      </c>
      <c r="AQ15">
        <v>319</v>
      </c>
      <c r="AR15" t="s">
        <v>157</v>
      </c>
      <c r="AS15" t="s">
        <v>69</v>
      </c>
      <c r="AT15" t="s">
        <v>75</v>
      </c>
      <c r="AU15" t="s">
        <v>69</v>
      </c>
      <c r="AV15">
        <v>155.15600000000001</v>
      </c>
      <c r="AW15" t="s">
        <v>69</v>
      </c>
      <c r="AX15" t="s">
        <v>69</v>
      </c>
      <c r="AY15">
        <v>342</v>
      </c>
      <c r="AZ15" t="s">
        <v>76</v>
      </c>
      <c r="BA15" t="s">
        <v>69</v>
      </c>
      <c r="BB15" t="s">
        <v>75</v>
      </c>
      <c r="BC15" t="s">
        <v>69</v>
      </c>
      <c r="BD15">
        <v>146.18899999999999</v>
      </c>
      <c r="BE15" t="s">
        <v>69</v>
      </c>
      <c r="BF15" t="s">
        <v>69</v>
      </c>
      <c r="BG15">
        <v>378</v>
      </c>
      <c r="BH15" t="s">
        <v>70</v>
      </c>
      <c r="BI15" t="s">
        <v>69</v>
      </c>
      <c r="BJ15" t="s">
        <v>71</v>
      </c>
      <c r="BK15" t="s">
        <v>69</v>
      </c>
      <c r="BL15">
        <v>75.066999999999993</v>
      </c>
      <c r="BM15" t="s">
        <v>69</v>
      </c>
      <c r="BN15" t="s">
        <v>69</v>
      </c>
      <c r="BO15">
        <v>379</v>
      </c>
      <c r="BP15" t="s">
        <v>119</v>
      </c>
      <c r="BQ15" t="s">
        <v>69</v>
      </c>
      <c r="BR15" t="s">
        <v>120</v>
      </c>
      <c r="BS15" t="s">
        <v>69</v>
      </c>
      <c r="BT15">
        <v>147.131</v>
      </c>
      <c r="BU15" t="s">
        <v>69</v>
      </c>
      <c r="BV15" t="s">
        <v>69</v>
      </c>
      <c r="BW15">
        <v>380</v>
      </c>
      <c r="BX15" t="s">
        <v>146</v>
      </c>
      <c r="BY15" t="s">
        <v>153</v>
      </c>
      <c r="BZ15" t="s">
        <v>71</v>
      </c>
      <c r="CA15" t="s">
        <v>153</v>
      </c>
      <c r="CB15">
        <v>115.13200000000001</v>
      </c>
      <c r="CC15" t="s">
        <v>69</v>
      </c>
      <c r="CD15" t="s">
        <v>69</v>
      </c>
      <c r="CE15">
        <v>389</v>
      </c>
      <c r="CF15" t="s">
        <v>76</v>
      </c>
      <c r="CG15" t="s">
        <v>69</v>
      </c>
      <c r="CH15" t="s">
        <v>75</v>
      </c>
      <c r="CI15" t="s">
        <v>69</v>
      </c>
      <c r="CJ15">
        <v>146.18899999999999</v>
      </c>
      <c r="CK15" t="s">
        <v>69</v>
      </c>
      <c r="CL15" t="s">
        <v>69</v>
      </c>
    </row>
    <row r="16" spans="1:90" x14ac:dyDescent="0.25">
      <c r="A16">
        <v>7</v>
      </c>
      <c r="B16" t="str">
        <f>HYPERLINK("http://www.ncbi.nlm.nih.gov/protein/CAD7692344.1","CAD7692344.1")</f>
        <v>CAD7692344.1</v>
      </c>
      <c r="C16">
        <v>27271</v>
      </c>
      <c r="D16" t="str">
        <f>HYPERLINK("http://www.ncbi.nlm.nih.gov/Taxonomy/Browser/wwwtax.cgi?mode=Info&amp;id=34880&amp;lvl=3&amp;lin=f&amp;keep=1&amp;srchmode=1&amp;unlock","34880")</f>
        <v>34880</v>
      </c>
      <c r="E16" t="s">
        <v>66</v>
      </c>
      <c r="F16" t="str">
        <f>HYPERLINK("http://www.ncbi.nlm.nih.gov/Taxonomy/Browser/wwwtax.cgi?mode=Info&amp;id=34880&amp;lvl=3&amp;lin=f&amp;keep=1&amp;srchmode=1&amp;unlock","Nyctereutes procyonoides")</f>
        <v>Nyctereutes procyonoides</v>
      </c>
      <c r="G16" t="s">
        <v>92</v>
      </c>
      <c r="H16" t="str">
        <f>HYPERLINK("http://www.ncbi.nlm.nih.gov/protein/CAD7692344.1","unnamed protein product")</f>
        <v>unnamed protein product</v>
      </c>
      <c r="I16" t="s">
        <v>260</v>
      </c>
      <c r="J16" t="s">
        <v>69</v>
      </c>
      <c r="K16">
        <v>248</v>
      </c>
      <c r="L16" t="s">
        <v>74</v>
      </c>
      <c r="M16" t="s">
        <v>69</v>
      </c>
      <c r="N16" t="s">
        <v>75</v>
      </c>
      <c r="O16" t="s">
        <v>69</v>
      </c>
      <c r="P16">
        <v>174.203</v>
      </c>
      <c r="Q16" t="s">
        <v>69</v>
      </c>
      <c r="R16" t="s">
        <v>69</v>
      </c>
      <c r="S16">
        <v>300</v>
      </c>
      <c r="T16" t="s">
        <v>74</v>
      </c>
      <c r="U16" t="s">
        <v>153</v>
      </c>
      <c r="V16" t="s">
        <v>75</v>
      </c>
      <c r="W16" t="s">
        <v>69</v>
      </c>
      <c r="X16">
        <v>174.203</v>
      </c>
      <c r="Y16" t="s">
        <v>69</v>
      </c>
      <c r="Z16" t="s">
        <v>69</v>
      </c>
      <c r="AA16">
        <v>322</v>
      </c>
      <c r="AB16" t="s">
        <v>74</v>
      </c>
      <c r="AC16" t="s">
        <v>69</v>
      </c>
      <c r="AD16" t="s">
        <v>75</v>
      </c>
      <c r="AE16" t="s">
        <v>69</v>
      </c>
      <c r="AF16">
        <v>174.203</v>
      </c>
      <c r="AG16" t="s">
        <v>69</v>
      </c>
      <c r="AH16" t="s">
        <v>69</v>
      </c>
      <c r="AI16">
        <v>325</v>
      </c>
      <c r="AJ16" t="s">
        <v>157</v>
      </c>
      <c r="AK16" t="s">
        <v>69</v>
      </c>
      <c r="AL16" t="s">
        <v>75</v>
      </c>
      <c r="AM16" t="s">
        <v>69</v>
      </c>
      <c r="AN16">
        <v>155.15600000000001</v>
      </c>
      <c r="AO16" t="s">
        <v>69</v>
      </c>
      <c r="AP16" t="s">
        <v>69</v>
      </c>
      <c r="AQ16">
        <v>327</v>
      </c>
      <c r="AR16" t="s">
        <v>157</v>
      </c>
      <c r="AS16" t="s">
        <v>69</v>
      </c>
      <c r="AT16" t="s">
        <v>75</v>
      </c>
      <c r="AU16" t="s">
        <v>69</v>
      </c>
      <c r="AV16">
        <v>155.15600000000001</v>
      </c>
      <c r="AW16" t="s">
        <v>69</v>
      </c>
      <c r="AX16" t="s">
        <v>69</v>
      </c>
      <c r="AY16">
        <v>350</v>
      </c>
      <c r="AZ16" t="s">
        <v>76</v>
      </c>
      <c r="BA16" t="s">
        <v>69</v>
      </c>
      <c r="BB16" t="s">
        <v>75</v>
      </c>
      <c r="BC16" t="s">
        <v>69</v>
      </c>
      <c r="BD16">
        <v>146.18899999999999</v>
      </c>
      <c r="BE16" t="s">
        <v>69</v>
      </c>
      <c r="BF16" t="s">
        <v>69</v>
      </c>
      <c r="BG16">
        <v>386</v>
      </c>
      <c r="BH16" t="s">
        <v>70</v>
      </c>
      <c r="BI16" t="s">
        <v>69</v>
      </c>
      <c r="BJ16" t="s">
        <v>71</v>
      </c>
      <c r="BK16" t="s">
        <v>69</v>
      </c>
      <c r="BL16">
        <v>75.066999999999993</v>
      </c>
      <c r="BM16" t="s">
        <v>69</v>
      </c>
      <c r="BN16" t="s">
        <v>69</v>
      </c>
      <c r="BO16">
        <v>387</v>
      </c>
      <c r="BP16" t="s">
        <v>119</v>
      </c>
      <c r="BQ16" t="s">
        <v>69</v>
      </c>
      <c r="BR16" t="s">
        <v>120</v>
      </c>
      <c r="BS16" t="s">
        <v>69</v>
      </c>
      <c r="BT16">
        <v>147.131</v>
      </c>
      <c r="BU16" t="s">
        <v>69</v>
      </c>
      <c r="BV16" t="s">
        <v>69</v>
      </c>
      <c r="BW16">
        <v>388</v>
      </c>
      <c r="BX16" t="s">
        <v>146</v>
      </c>
      <c r="BY16" t="s">
        <v>153</v>
      </c>
      <c r="BZ16" t="s">
        <v>71</v>
      </c>
      <c r="CA16" t="s">
        <v>153</v>
      </c>
      <c r="CB16">
        <v>115.13200000000001</v>
      </c>
      <c r="CC16" t="s">
        <v>69</v>
      </c>
      <c r="CD16" t="s">
        <v>69</v>
      </c>
      <c r="CE16">
        <v>397</v>
      </c>
      <c r="CF16" t="s">
        <v>76</v>
      </c>
      <c r="CG16" t="s">
        <v>69</v>
      </c>
      <c r="CH16" t="s">
        <v>75</v>
      </c>
      <c r="CI16" t="s">
        <v>69</v>
      </c>
      <c r="CJ16">
        <v>146.18899999999999</v>
      </c>
      <c r="CK16" t="s">
        <v>69</v>
      </c>
      <c r="CL16" t="s">
        <v>69</v>
      </c>
    </row>
    <row r="17" spans="1:90" x14ac:dyDescent="0.25">
      <c r="A17">
        <v>7</v>
      </c>
      <c r="B17" t="str">
        <f>HYPERLINK("http://www.ncbi.nlm.nih.gov/protein/XP_047692236.1","XP_047692236.1")</f>
        <v>XP_047692236.1</v>
      </c>
      <c r="C17">
        <v>56399</v>
      </c>
      <c r="D17" t="str">
        <f>HYPERLINK("http://www.ncbi.nlm.nih.gov/Taxonomy/Browser/wwwtax.cgi?mode=Info&amp;id=61388&amp;lvl=3&amp;lin=f&amp;keep=1&amp;srchmode=1&amp;unlock","61388")</f>
        <v>61388</v>
      </c>
      <c r="E17" t="s">
        <v>66</v>
      </c>
      <c r="F17" t="str">
        <f>HYPERLINK("http://www.ncbi.nlm.nih.gov/Taxonomy/Browser/wwwtax.cgi?mode=Info&amp;id=61388&amp;lvl=3&amp;lin=f&amp;keep=1&amp;srchmode=1&amp;unlock","Prionailurus viverrinus")</f>
        <v>Prionailurus viverrinus</v>
      </c>
      <c r="G17" t="s">
        <v>94</v>
      </c>
      <c r="H17" t="str">
        <f>HYPERLINK("http://www.ncbi.nlm.nih.gov/protein/XP_047692236.1","interferon regulatory factor 3-like isoform X2")</f>
        <v>interferon regulatory factor 3-like isoform X2</v>
      </c>
      <c r="I17" t="s">
        <v>260</v>
      </c>
      <c r="J17" t="s">
        <v>69</v>
      </c>
      <c r="K17">
        <v>211</v>
      </c>
      <c r="L17" t="s">
        <v>74</v>
      </c>
      <c r="M17" t="s">
        <v>69</v>
      </c>
      <c r="N17" t="s">
        <v>75</v>
      </c>
      <c r="O17" t="s">
        <v>69</v>
      </c>
      <c r="P17">
        <v>174.203</v>
      </c>
      <c r="Q17" t="s">
        <v>69</v>
      </c>
      <c r="R17" t="s">
        <v>69</v>
      </c>
      <c r="S17">
        <v>262</v>
      </c>
      <c r="T17" t="s">
        <v>74</v>
      </c>
      <c r="U17" t="s">
        <v>153</v>
      </c>
      <c r="V17" t="s">
        <v>75</v>
      </c>
      <c r="W17" t="s">
        <v>69</v>
      </c>
      <c r="X17">
        <v>174.203</v>
      </c>
      <c r="Y17" t="s">
        <v>69</v>
      </c>
      <c r="Z17" t="s">
        <v>69</v>
      </c>
      <c r="AA17">
        <v>284</v>
      </c>
      <c r="AB17" t="s">
        <v>74</v>
      </c>
      <c r="AC17" t="s">
        <v>69</v>
      </c>
      <c r="AD17" t="s">
        <v>75</v>
      </c>
      <c r="AE17" t="s">
        <v>69</v>
      </c>
      <c r="AF17">
        <v>174.203</v>
      </c>
      <c r="AG17" t="s">
        <v>69</v>
      </c>
      <c r="AH17" t="s">
        <v>69</v>
      </c>
      <c r="AI17">
        <v>287</v>
      </c>
      <c r="AJ17" t="s">
        <v>157</v>
      </c>
      <c r="AK17" t="s">
        <v>69</v>
      </c>
      <c r="AL17" t="s">
        <v>75</v>
      </c>
      <c r="AM17" t="s">
        <v>69</v>
      </c>
      <c r="AN17">
        <v>155.15600000000001</v>
      </c>
      <c r="AO17" t="s">
        <v>69</v>
      </c>
      <c r="AP17" t="s">
        <v>69</v>
      </c>
      <c r="AQ17">
        <v>289</v>
      </c>
      <c r="AR17" t="s">
        <v>157</v>
      </c>
      <c r="AS17" t="s">
        <v>69</v>
      </c>
      <c r="AT17" t="s">
        <v>75</v>
      </c>
      <c r="AU17" t="s">
        <v>69</v>
      </c>
      <c r="AV17">
        <v>155.15600000000001</v>
      </c>
      <c r="AW17" t="s">
        <v>69</v>
      </c>
      <c r="AX17" t="s">
        <v>69</v>
      </c>
      <c r="AY17">
        <v>312</v>
      </c>
      <c r="AZ17" t="s">
        <v>76</v>
      </c>
      <c r="BA17" t="s">
        <v>69</v>
      </c>
      <c r="BB17" t="s">
        <v>75</v>
      </c>
      <c r="BC17" t="s">
        <v>69</v>
      </c>
      <c r="BD17">
        <v>146.18899999999999</v>
      </c>
      <c r="BE17" t="s">
        <v>69</v>
      </c>
      <c r="BF17" t="s">
        <v>69</v>
      </c>
      <c r="BG17">
        <v>348</v>
      </c>
      <c r="BH17" t="s">
        <v>70</v>
      </c>
      <c r="BI17" t="s">
        <v>69</v>
      </c>
      <c r="BJ17" t="s">
        <v>71</v>
      </c>
      <c r="BK17" t="s">
        <v>69</v>
      </c>
      <c r="BL17">
        <v>75.066999999999993</v>
      </c>
      <c r="BM17" t="s">
        <v>69</v>
      </c>
      <c r="BN17" t="s">
        <v>69</v>
      </c>
      <c r="BO17">
        <v>349</v>
      </c>
      <c r="BP17" t="s">
        <v>119</v>
      </c>
      <c r="BQ17" t="s">
        <v>69</v>
      </c>
      <c r="BR17" t="s">
        <v>120</v>
      </c>
      <c r="BS17" t="s">
        <v>69</v>
      </c>
      <c r="BT17">
        <v>147.131</v>
      </c>
      <c r="BU17" t="s">
        <v>69</v>
      </c>
      <c r="BV17" t="s">
        <v>69</v>
      </c>
      <c r="BW17">
        <v>350</v>
      </c>
      <c r="BX17" t="s">
        <v>146</v>
      </c>
      <c r="BY17" t="s">
        <v>153</v>
      </c>
      <c r="BZ17" t="s">
        <v>71</v>
      </c>
      <c r="CA17" t="s">
        <v>153</v>
      </c>
      <c r="CB17">
        <v>115.13200000000001</v>
      </c>
      <c r="CC17" t="s">
        <v>69</v>
      </c>
      <c r="CD17" t="s">
        <v>69</v>
      </c>
      <c r="CE17">
        <v>359</v>
      </c>
      <c r="CF17" t="s">
        <v>76</v>
      </c>
      <c r="CG17" t="s">
        <v>69</v>
      </c>
      <c r="CH17" t="s">
        <v>75</v>
      </c>
      <c r="CI17" t="s">
        <v>69</v>
      </c>
      <c r="CJ17">
        <v>146.18899999999999</v>
      </c>
      <c r="CK17" t="s">
        <v>69</v>
      </c>
      <c r="CL17" t="s">
        <v>69</v>
      </c>
    </row>
    <row r="18" spans="1:90" x14ac:dyDescent="0.25">
      <c r="A18">
        <v>7</v>
      </c>
      <c r="B18" t="str">
        <f>HYPERLINK("http://www.ncbi.nlm.nih.gov/protein/XP_038512228.1","XP_038512228.1")</f>
        <v>XP_038512228.1</v>
      </c>
      <c r="C18">
        <v>136357</v>
      </c>
      <c r="D18" t="str">
        <f>HYPERLINK("http://www.ncbi.nlm.nih.gov/Taxonomy/Browser/wwwtax.cgi?mode=Info&amp;id=9615&amp;lvl=3&amp;lin=f&amp;keep=1&amp;srchmode=1&amp;unlock","9615")</f>
        <v>9615</v>
      </c>
      <c r="E18" t="s">
        <v>66</v>
      </c>
      <c r="F18" t="str">
        <f>HYPERLINK("http://www.ncbi.nlm.nih.gov/Taxonomy/Browser/wwwtax.cgi?mode=Info&amp;id=9615&amp;lvl=3&amp;lin=f&amp;keep=1&amp;srchmode=1&amp;unlock","Canis lupus familiaris")</f>
        <v>Canis lupus familiaris</v>
      </c>
      <c r="G18" t="s">
        <v>84</v>
      </c>
      <c r="H18" t="str">
        <f>HYPERLINK("http://www.ncbi.nlm.nih.gov/protein/XP_038512228.1","interferon regulatory factor 3 isoform X1")</f>
        <v>interferon regulatory factor 3 isoform X1</v>
      </c>
      <c r="I18" t="s">
        <v>260</v>
      </c>
      <c r="J18" t="s">
        <v>69</v>
      </c>
      <c r="K18">
        <v>211</v>
      </c>
      <c r="L18" t="s">
        <v>74</v>
      </c>
      <c r="M18" t="s">
        <v>69</v>
      </c>
      <c r="N18" t="s">
        <v>75</v>
      </c>
      <c r="O18" t="s">
        <v>69</v>
      </c>
      <c r="P18">
        <v>174.203</v>
      </c>
      <c r="Q18" t="s">
        <v>69</v>
      </c>
      <c r="R18" t="s">
        <v>69</v>
      </c>
      <c r="S18">
        <v>263</v>
      </c>
      <c r="T18" t="s">
        <v>74</v>
      </c>
      <c r="U18" t="s">
        <v>153</v>
      </c>
      <c r="V18" t="s">
        <v>75</v>
      </c>
      <c r="W18" t="s">
        <v>69</v>
      </c>
      <c r="X18">
        <v>174.203</v>
      </c>
      <c r="Y18" t="s">
        <v>69</v>
      </c>
      <c r="Z18" t="s">
        <v>69</v>
      </c>
      <c r="AA18">
        <v>285</v>
      </c>
      <c r="AB18" t="s">
        <v>74</v>
      </c>
      <c r="AC18" t="s">
        <v>69</v>
      </c>
      <c r="AD18" t="s">
        <v>75</v>
      </c>
      <c r="AE18" t="s">
        <v>69</v>
      </c>
      <c r="AF18">
        <v>174.203</v>
      </c>
      <c r="AG18" t="s">
        <v>69</v>
      </c>
      <c r="AH18" t="s">
        <v>69</v>
      </c>
      <c r="AI18">
        <v>288</v>
      </c>
      <c r="AJ18" t="s">
        <v>157</v>
      </c>
      <c r="AK18" t="s">
        <v>69</v>
      </c>
      <c r="AL18" t="s">
        <v>75</v>
      </c>
      <c r="AM18" t="s">
        <v>69</v>
      </c>
      <c r="AN18">
        <v>155.15600000000001</v>
      </c>
      <c r="AO18" t="s">
        <v>69</v>
      </c>
      <c r="AP18" t="s">
        <v>69</v>
      </c>
      <c r="AQ18">
        <v>290</v>
      </c>
      <c r="AR18" t="s">
        <v>157</v>
      </c>
      <c r="AS18" t="s">
        <v>69</v>
      </c>
      <c r="AT18" t="s">
        <v>75</v>
      </c>
      <c r="AU18" t="s">
        <v>69</v>
      </c>
      <c r="AV18">
        <v>155.15600000000001</v>
      </c>
      <c r="AW18" t="s">
        <v>69</v>
      </c>
      <c r="AX18" t="s">
        <v>69</v>
      </c>
      <c r="AY18">
        <v>313</v>
      </c>
      <c r="AZ18" t="s">
        <v>76</v>
      </c>
      <c r="BA18" t="s">
        <v>69</v>
      </c>
      <c r="BB18" t="s">
        <v>75</v>
      </c>
      <c r="BC18" t="s">
        <v>69</v>
      </c>
      <c r="BD18">
        <v>146.18899999999999</v>
      </c>
      <c r="BE18" t="s">
        <v>69</v>
      </c>
      <c r="BF18" t="s">
        <v>69</v>
      </c>
      <c r="BG18">
        <v>349</v>
      </c>
      <c r="BH18" t="s">
        <v>70</v>
      </c>
      <c r="BI18" t="s">
        <v>69</v>
      </c>
      <c r="BJ18" t="s">
        <v>71</v>
      </c>
      <c r="BK18" t="s">
        <v>69</v>
      </c>
      <c r="BL18">
        <v>75.066999999999993</v>
      </c>
      <c r="BM18" t="s">
        <v>69</v>
      </c>
      <c r="BN18" t="s">
        <v>69</v>
      </c>
      <c r="BO18">
        <v>350</v>
      </c>
      <c r="BP18" t="s">
        <v>119</v>
      </c>
      <c r="BQ18" t="s">
        <v>69</v>
      </c>
      <c r="BR18" t="s">
        <v>120</v>
      </c>
      <c r="BS18" t="s">
        <v>69</v>
      </c>
      <c r="BT18">
        <v>147.131</v>
      </c>
      <c r="BU18" t="s">
        <v>69</v>
      </c>
      <c r="BV18" t="s">
        <v>69</v>
      </c>
      <c r="BW18">
        <v>351</v>
      </c>
      <c r="BX18" t="s">
        <v>146</v>
      </c>
      <c r="BY18" t="s">
        <v>153</v>
      </c>
      <c r="BZ18" t="s">
        <v>71</v>
      </c>
      <c r="CA18" t="s">
        <v>153</v>
      </c>
      <c r="CB18">
        <v>115.13200000000001</v>
      </c>
      <c r="CC18" t="s">
        <v>69</v>
      </c>
      <c r="CD18" t="s">
        <v>69</v>
      </c>
      <c r="CE18">
        <v>360</v>
      </c>
      <c r="CF18" t="s">
        <v>76</v>
      </c>
      <c r="CG18" t="s">
        <v>69</v>
      </c>
      <c r="CH18" t="s">
        <v>75</v>
      </c>
      <c r="CI18" t="s">
        <v>69</v>
      </c>
      <c r="CJ18">
        <v>146.18899999999999</v>
      </c>
      <c r="CK18" t="s">
        <v>69</v>
      </c>
      <c r="CL18" t="s">
        <v>69</v>
      </c>
    </row>
    <row r="19" spans="1:90" x14ac:dyDescent="0.25">
      <c r="A19">
        <v>7</v>
      </c>
      <c r="B19" t="str">
        <f>HYPERLINK("http://www.ncbi.nlm.nih.gov/protein/XP_025869690.1","XP_025869690.1")</f>
        <v>XP_025869690.1</v>
      </c>
      <c r="C19">
        <v>38435</v>
      </c>
      <c r="D19" t="str">
        <f>HYPERLINK("http://www.ncbi.nlm.nih.gov/Taxonomy/Browser/wwwtax.cgi?mode=Info&amp;id=9627&amp;lvl=3&amp;lin=f&amp;keep=1&amp;srchmode=1&amp;unlock","9627")</f>
        <v>9627</v>
      </c>
      <c r="E19" t="s">
        <v>66</v>
      </c>
      <c r="F19" t="str">
        <f>HYPERLINK("http://www.ncbi.nlm.nih.gov/Taxonomy/Browser/wwwtax.cgi?mode=Info&amp;id=9627&amp;lvl=3&amp;lin=f&amp;keep=1&amp;srchmode=1&amp;unlock","Vulpes vulpes")</f>
        <v>Vulpes vulpes</v>
      </c>
      <c r="G19" t="s">
        <v>95</v>
      </c>
      <c r="H19" t="str">
        <f>HYPERLINK("http://www.ncbi.nlm.nih.gov/protein/XP_025869690.1","interferon regulatory factor 3 isoform X1")</f>
        <v>interferon regulatory factor 3 isoform X1</v>
      </c>
      <c r="I19" t="s">
        <v>260</v>
      </c>
      <c r="J19" t="s">
        <v>69</v>
      </c>
      <c r="K19">
        <v>212</v>
      </c>
      <c r="L19" t="s">
        <v>74</v>
      </c>
      <c r="M19" t="s">
        <v>69</v>
      </c>
      <c r="N19" t="s">
        <v>75</v>
      </c>
      <c r="O19" t="s">
        <v>69</v>
      </c>
      <c r="P19">
        <v>174.203</v>
      </c>
      <c r="Q19" t="s">
        <v>69</v>
      </c>
      <c r="R19" t="s">
        <v>69</v>
      </c>
      <c r="S19">
        <v>264</v>
      </c>
      <c r="T19" t="s">
        <v>74</v>
      </c>
      <c r="U19" t="s">
        <v>153</v>
      </c>
      <c r="V19" t="s">
        <v>75</v>
      </c>
      <c r="W19" t="s">
        <v>69</v>
      </c>
      <c r="X19">
        <v>174.203</v>
      </c>
      <c r="Y19" t="s">
        <v>69</v>
      </c>
      <c r="Z19" t="s">
        <v>69</v>
      </c>
      <c r="AA19">
        <v>286</v>
      </c>
      <c r="AB19" t="s">
        <v>74</v>
      </c>
      <c r="AC19" t="s">
        <v>69</v>
      </c>
      <c r="AD19" t="s">
        <v>75</v>
      </c>
      <c r="AE19" t="s">
        <v>69</v>
      </c>
      <c r="AF19">
        <v>174.203</v>
      </c>
      <c r="AG19" t="s">
        <v>69</v>
      </c>
      <c r="AH19" t="s">
        <v>69</v>
      </c>
      <c r="AI19">
        <v>289</v>
      </c>
      <c r="AJ19" t="s">
        <v>157</v>
      </c>
      <c r="AK19" t="s">
        <v>69</v>
      </c>
      <c r="AL19" t="s">
        <v>75</v>
      </c>
      <c r="AM19" t="s">
        <v>69</v>
      </c>
      <c r="AN19">
        <v>155.15600000000001</v>
      </c>
      <c r="AO19" t="s">
        <v>69</v>
      </c>
      <c r="AP19" t="s">
        <v>69</v>
      </c>
      <c r="AQ19">
        <v>291</v>
      </c>
      <c r="AR19" t="s">
        <v>157</v>
      </c>
      <c r="AS19" t="s">
        <v>69</v>
      </c>
      <c r="AT19" t="s">
        <v>75</v>
      </c>
      <c r="AU19" t="s">
        <v>69</v>
      </c>
      <c r="AV19">
        <v>155.15600000000001</v>
      </c>
      <c r="AW19" t="s">
        <v>69</v>
      </c>
      <c r="AX19" t="s">
        <v>69</v>
      </c>
      <c r="AY19">
        <v>314</v>
      </c>
      <c r="AZ19" t="s">
        <v>76</v>
      </c>
      <c r="BA19" t="s">
        <v>69</v>
      </c>
      <c r="BB19" t="s">
        <v>75</v>
      </c>
      <c r="BC19" t="s">
        <v>69</v>
      </c>
      <c r="BD19">
        <v>146.18899999999999</v>
      </c>
      <c r="BE19" t="s">
        <v>69</v>
      </c>
      <c r="BF19" t="s">
        <v>69</v>
      </c>
      <c r="BG19">
        <v>350</v>
      </c>
      <c r="BH19" t="s">
        <v>70</v>
      </c>
      <c r="BI19" t="s">
        <v>69</v>
      </c>
      <c r="BJ19" t="s">
        <v>71</v>
      </c>
      <c r="BK19" t="s">
        <v>69</v>
      </c>
      <c r="BL19">
        <v>75.066999999999993</v>
      </c>
      <c r="BM19" t="s">
        <v>69</v>
      </c>
      <c r="BN19" t="s">
        <v>69</v>
      </c>
      <c r="BO19">
        <v>351</v>
      </c>
      <c r="BP19" t="s">
        <v>119</v>
      </c>
      <c r="BQ19" t="s">
        <v>69</v>
      </c>
      <c r="BR19" t="s">
        <v>120</v>
      </c>
      <c r="BS19" t="s">
        <v>69</v>
      </c>
      <c r="BT19">
        <v>147.131</v>
      </c>
      <c r="BU19" t="s">
        <v>69</v>
      </c>
      <c r="BV19" t="s">
        <v>69</v>
      </c>
      <c r="BW19">
        <v>352</v>
      </c>
      <c r="BX19" t="s">
        <v>146</v>
      </c>
      <c r="BY19" t="s">
        <v>153</v>
      </c>
      <c r="BZ19" t="s">
        <v>71</v>
      </c>
      <c r="CA19" t="s">
        <v>153</v>
      </c>
      <c r="CB19">
        <v>115.13200000000001</v>
      </c>
      <c r="CC19" t="s">
        <v>69</v>
      </c>
      <c r="CD19" t="s">
        <v>69</v>
      </c>
      <c r="CE19">
        <v>361</v>
      </c>
      <c r="CF19" t="s">
        <v>76</v>
      </c>
      <c r="CG19" t="s">
        <v>69</v>
      </c>
      <c r="CH19" t="s">
        <v>75</v>
      </c>
      <c r="CI19" t="s">
        <v>69</v>
      </c>
      <c r="CJ19">
        <v>146.18899999999999</v>
      </c>
      <c r="CK19" t="s">
        <v>69</v>
      </c>
      <c r="CL19" t="s">
        <v>69</v>
      </c>
    </row>
    <row r="20" spans="1:90" x14ac:dyDescent="0.25">
      <c r="A20">
        <v>7</v>
      </c>
      <c r="B20" t="str">
        <f>HYPERLINK("http://www.ncbi.nlm.nih.gov/protein/XP_012919390.1","XP_012919390.1")</f>
        <v>XP_012919390.1</v>
      </c>
      <c r="C20">
        <v>58003</v>
      </c>
      <c r="D20" t="str">
        <f>HYPERLINK("http://www.ncbi.nlm.nih.gov/Taxonomy/Browser/wwwtax.cgi?mode=Info&amp;id=9669&amp;lvl=3&amp;lin=f&amp;keep=1&amp;srchmode=1&amp;unlock","9669")</f>
        <v>9669</v>
      </c>
      <c r="E20" t="s">
        <v>66</v>
      </c>
      <c r="F20" t="str">
        <f>HYPERLINK("http://www.ncbi.nlm.nih.gov/Taxonomy/Browser/wwwtax.cgi?mode=Info&amp;id=9669&amp;lvl=3&amp;lin=f&amp;keep=1&amp;srchmode=1&amp;unlock","Mustela putorius furo")</f>
        <v>Mustela putorius furo</v>
      </c>
      <c r="G20" t="s">
        <v>98</v>
      </c>
      <c r="H20" t="str">
        <f>HYPERLINK("http://www.ncbi.nlm.nih.gov/protein/XP_012919390.1","interferon regulatory factor 3 isoform X1")</f>
        <v>interferon regulatory factor 3 isoform X1</v>
      </c>
      <c r="I20" t="s">
        <v>260</v>
      </c>
      <c r="J20" t="s">
        <v>69</v>
      </c>
      <c r="K20">
        <v>211</v>
      </c>
      <c r="L20" t="s">
        <v>74</v>
      </c>
      <c r="M20" t="s">
        <v>69</v>
      </c>
      <c r="N20" t="s">
        <v>75</v>
      </c>
      <c r="O20" t="s">
        <v>69</v>
      </c>
      <c r="P20">
        <v>174.203</v>
      </c>
      <c r="Q20" t="s">
        <v>69</v>
      </c>
      <c r="R20" t="s">
        <v>69</v>
      </c>
      <c r="S20">
        <v>263</v>
      </c>
      <c r="T20" t="s">
        <v>74</v>
      </c>
      <c r="U20" t="s">
        <v>153</v>
      </c>
      <c r="V20" t="s">
        <v>75</v>
      </c>
      <c r="W20" t="s">
        <v>69</v>
      </c>
      <c r="X20">
        <v>174.203</v>
      </c>
      <c r="Y20" t="s">
        <v>69</v>
      </c>
      <c r="Z20" t="s">
        <v>69</v>
      </c>
      <c r="AA20">
        <v>285</v>
      </c>
      <c r="AB20" t="s">
        <v>74</v>
      </c>
      <c r="AC20" t="s">
        <v>69</v>
      </c>
      <c r="AD20" t="s">
        <v>75</v>
      </c>
      <c r="AE20" t="s">
        <v>69</v>
      </c>
      <c r="AF20">
        <v>174.203</v>
      </c>
      <c r="AG20" t="s">
        <v>69</v>
      </c>
      <c r="AH20" t="s">
        <v>69</v>
      </c>
      <c r="AI20">
        <v>288</v>
      </c>
      <c r="AJ20" t="s">
        <v>157</v>
      </c>
      <c r="AK20" t="s">
        <v>69</v>
      </c>
      <c r="AL20" t="s">
        <v>75</v>
      </c>
      <c r="AM20" t="s">
        <v>69</v>
      </c>
      <c r="AN20">
        <v>155.15600000000001</v>
      </c>
      <c r="AO20" t="s">
        <v>69</v>
      </c>
      <c r="AP20" t="s">
        <v>69</v>
      </c>
      <c r="AQ20">
        <v>290</v>
      </c>
      <c r="AR20" t="s">
        <v>157</v>
      </c>
      <c r="AS20" t="s">
        <v>69</v>
      </c>
      <c r="AT20" t="s">
        <v>75</v>
      </c>
      <c r="AU20" t="s">
        <v>69</v>
      </c>
      <c r="AV20">
        <v>155.15600000000001</v>
      </c>
      <c r="AW20" t="s">
        <v>69</v>
      </c>
      <c r="AX20" t="s">
        <v>69</v>
      </c>
      <c r="AY20">
        <v>313</v>
      </c>
      <c r="AZ20" t="s">
        <v>76</v>
      </c>
      <c r="BA20" t="s">
        <v>69</v>
      </c>
      <c r="BB20" t="s">
        <v>75</v>
      </c>
      <c r="BC20" t="s">
        <v>69</v>
      </c>
      <c r="BD20">
        <v>146.18899999999999</v>
      </c>
      <c r="BE20" t="s">
        <v>69</v>
      </c>
      <c r="BF20" t="s">
        <v>69</v>
      </c>
      <c r="BG20">
        <v>349</v>
      </c>
      <c r="BH20" t="s">
        <v>70</v>
      </c>
      <c r="BI20" t="s">
        <v>69</v>
      </c>
      <c r="BJ20" t="s">
        <v>71</v>
      </c>
      <c r="BK20" t="s">
        <v>69</v>
      </c>
      <c r="BL20">
        <v>75.066999999999993</v>
      </c>
      <c r="BM20" t="s">
        <v>69</v>
      </c>
      <c r="BN20" t="s">
        <v>69</v>
      </c>
      <c r="BO20">
        <v>350</v>
      </c>
      <c r="BP20" t="s">
        <v>119</v>
      </c>
      <c r="BQ20" t="s">
        <v>69</v>
      </c>
      <c r="BR20" t="s">
        <v>120</v>
      </c>
      <c r="BS20" t="s">
        <v>69</v>
      </c>
      <c r="BT20">
        <v>147.131</v>
      </c>
      <c r="BU20" t="s">
        <v>69</v>
      </c>
      <c r="BV20" t="s">
        <v>69</v>
      </c>
      <c r="BW20">
        <v>351</v>
      </c>
      <c r="BX20" t="s">
        <v>146</v>
      </c>
      <c r="BY20" t="s">
        <v>153</v>
      </c>
      <c r="BZ20" t="s">
        <v>71</v>
      </c>
      <c r="CA20" t="s">
        <v>153</v>
      </c>
      <c r="CB20">
        <v>115.13200000000001</v>
      </c>
      <c r="CC20" t="s">
        <v>69</v>
      </c>
      <c r="CD20" t="s">
        <v>69</v>
      </c>
      <c r="CE20">
        <v>360</v>
      </c>
      <c r="CF20" t="s">
        <v>76</v>
      </c>
      <c r="CG20" t="s">
        <v>69</v>
      </c>
      <c r="CH20" t="s">
        <v>75</v>
      </c>
      <c r="CI20" t="s">
        <v>69</v>
      </c>
      <c r="CJ20">
        <v>146.18899999999999</v>
      </c>
      <c r="CK20" t="s">
        <v>69</v>
      </c>
      <c r="CL20" t="s">
        <v>69</v>
      </c>
    </row>
    <row r="21" spans="1:90" x14ac:dyDescent="0.25">
      <c r="A21">
        <v>7</v>
      </c>
      <c r="B21" t="str">
        <f>HYPERLINK("http://www.ncbi.nlm.nih.gov/protein/ABY26589.1","ABY26589.1")</f>
        <v>ABY26589.1</v>
      </c>
      <c r="C21">
        <v>86952</v>
      </c>
      <c r="D21" t="str">
        <f>HYPERLINK("http://www.ncbi.nlm.nih.gov/Taxonomy/Browser/wwwtax.cgi?mode=Info&amp;id=9823&amp;lvl=3&amp;lin=f&amp;keep=1&amp;srchmode=1&amp;unlock","9823")</f>
        <v>9823</v>
      </c>
      <c r="E21" t="s">
        <v>66</v>
      </c>
      <c r="F21" t="str">
        <f>HYPERLINK("http://www.ncbi.nlm.nih.gov/Taxonomy/Browser/wwwtax.cgi?mode=Info&amp;id=9823&amp;lvl=3&amp;lin=f&amp;keep=1&amp;srchmode=1&amp;unlock","Sus scrofa")</f>
        <v>Sus scrofa</v>
      </c>
      <c r="G21" t="s">
        <v>85</v>
      </c>
      <c r="H21" t="str">
        <f>HYPERLINK("http://www.ncbi.nlm.nih.gov/protein/ABY26589.1","interferon regulatory factor 3")</f>
        <v>interferon regulatory factor 3</v>
      </c>
      <c r="I21" t="s">
        <v>260</v>
      </c>
      <c r="J21" t="s">
        <v>69</v>
      </c>
      <c r="K21">
        <v>209</v>
      </c>
      <c r="L21" t="s">
        <v>74</v>
      </c>
      <c r="M21" t="s">
        <v>69</v>
      </c>
      <c r="N21" t="s">
        <v>75</v>
      </c>
      <c r="O21" t="s">
        <v>69</v>
      </c>
      <c r="P21">
        <v>174.203</v>
      </c>
      <c r="Q21" t="s">
        <v>69</v>
      </c>
      <c r="R21" t="s">
        <v>69</v>
      </c>
      <c r="S21">
        <v>261</v>
      </c>
      <c r="T21" t="s">
        <v>74</v>
      </c>
      <c r="U21" t="s">
        <v>153</v>
      </c>
      <c r="V21" t="s">
        <v>75</v>
      </c>
      <c r="W21" t="s">
        <v>69</v>
      </c>
      <c r="X21">
        <v>174.203</v>
      </c>
      <c r="Y21" t="s">
        <v>69</v>
      </c>
      <c r="Z21" t="s">
        <v>69</v>
      </c>
      <c r="AA21">
        <v>283</v>
      </c>
      <c r="AB21" t="s">
        <v>74</v>
      </c>
      <c r="AC21" t="s">
        <v>69</v>
      </c>
      <c r="AD21" t="s">
        <v>75</v>
      </c>
      <c r="AE21" t="s">
        <v>69</v>
      </c>
      <c r="AF21">
        <v>174.203</v>
      </c>
      <c r="AG21" t="s">
        <v>69</v>
      </c>
      <c r="AH21" t="s">
        <v>69</v>
      </c>
      <c r="AI21">
        <v>286</v>
      </c>
      <c r="AJ21" t="s">
        <v>157</v>
      </c>
      <c r="AK21" t="s">
        <v>69</v>
      </c>
      <c r="AL21" t="s">
        <v>75</v>
      </c>
      <c r="AM21" t="s">
        <v>69</v>
      </c>
      <c r="AN21">
        <v>155.15600000000001</v>
      </c>
      <c r="AO21" t="s">
        <v>69</v>
      </c>
      <c r="AP21" t="s">
        <v>69</v>
      </c>
      <c r="AQ21">
        <v>288</v>
      </c>
      <c r="AR21" t="s">
        <v>157</v>
      </c>
      <c r="AS21" t="s">
        <v>69</v>
      </c>
      <c r="AT21" t="s">
        <v>75</v>
      </c>
      <c r="AU21" t="s">
        <v>69</v>
      </c>
      <c r="AV21">
        <v>155.15600000000001</v>
      </c>
      <c r="AW21" t="s">
        <v>69</v>
      </c>
      <c r="AX21" t="s">
        <v>69</v>
      </c>
      <c r="AY21">
        <v>311</v>
      </c>
      <c r="AZ21" t="s">
        <v>76</v>
      </c>
      <c r="BA21" t="s">
        <v>69</v>
      </c>
      <c r="BB21" t="s">
        <v>75</v>
      </c>
      <c r="BC21" t="s">
        <v>69</v>
      </c>
      <c r="BD21">
        <v>146.18899999999999</v>
      </c>
      <c r="BE21" t="s">
        <v>69</v>
      </c>
      <c r="BF21" t="s">
        <v>69</v>
      </c>
      <c r="BG21">
        <v>347</v>
      </c>
      <c r="BH21" t="s">
        <v>70</v>
      </c>
      <c r="BI21" t="s">
        <v>69</v>
      </c>
      <c r="BJ21" t="s">
        <v>71</v>
      </c>
      <c r="BK21" t="s">
        <v>69</v>
      </c>
      <c r="BL21">
        <v>75.066999999999993</v>
      </c>
      <c r="BM21" t="s">
        <v>69</v>
      </c>
      <c r="BN21" t="s">
        <v>69</v>
      </c>
      <c r="BO21">
        <v>348</v>
      </c>
      <c r="BP21" t="s">
        <v>147</v>
      </c>
      <c r="BQ21" t="s">
        <v>153</v>
      </c>
      <c r="BR21" t="s">
        <v>148</v>
      </c>
      <c r="BS21" t="s">
        <v>153</v>
      </c>
      <c r="BT21">
        <v>146.14599999999999</v>
      </c>
      <c r="BU21" t="s">
        <v>69</v>
      </c>
      <c r="BV21" t="s">
        <v>69</v>
      </c>
      <c r="BW21">
        <v>349</v>
      </c>
      <c r="BX21" t="s">
        <v>155</v>
      </c>
      <c r="BY21" t="s">
        <v>69</v>
      </c>
      <c r="BZ21" t="s">
        <v>150</v>
      </c>
      <c r="CA21" t="s">
        <v>69</v>
      </c>
      <c r="CB21">
        <v>105.093</v>
      </c>
      <c r="CC21" t="s">
        <v>69</v>
      </c>
      <c r="CD21" t="s">
        <v>69</v>
      </c>
      <c r="CE21">
        <v>358</v>
      </c>
      <c r="CF21" t="s">
        <v>76</v>
      </c>
      <c r="CG21" t="s">
        <v>69</v>
      </c>
      <c r="CH21" t="s">
        <v>75</v>
      </c>
      <c r="CI21" t="s">
        <v>69</v>
      </c>
      <c r="CJ21">
        <v>146.18899999999999</v>
      </c>
      <c r="CK21" t="s">
        <v>69</v>
      </c>
      <c r="CL21" t="s">
        <v>69</v>
      </c>
    </row>
    <row r="22" spans="1:90" x14ac:dyDescent="0.25">
      <c r="A22">
        <v>7</v>
      </c>
      <c r="B22" t="str">
        <f>HYPERLINK("http://www.ncbi.nlm.nih.gov/protein/XP_044112790.1","XP_044112790.1")</f>
        <v>XP_044112790.1</v>
      </c>
      <c r="C22">
        <v>44640</v>
      </c>
      <c r="D22" t="str">
        <f>HYPERLINK("http://www.ncbi.nlm.nih.gov/Taxonomy/Browser/wwwtax.cgi?mode=Info&amp;id=452646&amp;lvl=3&amp;lin=f&amp;keep=1&amp;srchmode=1&amp;unlock","452646")</f>
        <v>452646</v>
      </c>
      <c r="E22" t="s">
        <v>66</v>
      </c>
      <c r="F22" t="str">
        <f>HYPERLINK("http://www.ncbi.nlm.nih.gov/Taxonomy/Browser/wwwtax.cgi?mode=Info&amp;id=452646&amp;lvl=3&amp;lin=f&amp;keep=1&amp;srchmode=1&amp;unlock","Neogale vison")</f>
        <v>Neogale vison</v>
      </c>
      <c r="G22" t="s">
        <v>96</v>
      </c>
      <c r="H22" t="str">
        <f>HYPERLINK("http://www.ncbi.nlm.nih.gov/protein/XP_044112790.1","interferon regulatory factor 3 isoform X4")</f>
        <v>interferon regulatory factor 3 isoform X4</v>
      </c>
      <c r="I22" t="s">
        <v>260</v>
      </c>
      <c r="J22" t="s">
        <v>69</v>
      </c>
      <c r="K22">
        <v>211</v>
      </c>
      <c r="L22" t="s">
        <v>74</v>
      </c>
      <c r="M22" t="s">
        <v>69</v>
      </c>
      <c r="N22" t="s">
        <v>75</v>
      </c>
      <c r="O22" t="s">
        <v>69</v>
      </c>
      <c r="P22">
        <v>174.203</v>
      </c>
      <c r="Q22" t="s">
        <v>69</v>
      </c>
      <c r="R22" t="s">
        <v>69</v>
      </c>
      <c r="S22">
        <v>263</v>
      </c>
      <c r="T22" t="s">
        <v>74</v>
      </c>
      <c r="U22" t="s">
        <v>153</v>
      </c>
      <c r="V22" t="s">
        <v>75</v>
      </c>
      <c r="W22" t="s">
        <v>69</v>
      </c>
      <c r="X22">
        <v>174.203</v>
      </c>
      <c r="Y22" t="s">
        <v>69</v>
      </c>
      <c r="Z22" t="s">
        <v>69</v>
      </c>
      <c r="AA22">
        <v>285</v>
      </c>
      <c r="AB22" t="s">
        <v>74</v>
      </c>
      <c r="AC22" t="s">
        <v>69</v>
      </c>
      <c r="AD22" t="s">
        <v>75</v>
      </c>
      <c r="AE22" t="s">
        <v>69</v>
      </c>
      <c r="AF22">
        <v>174.203</v>
      </c>
      <c r="AG22" t="s">
        <v>69</v>
      </c>
      <c r="AH22" t="s">
        <v>69</v>
      </c>
      <c r="AI22">
        <v>288</v>
      </c>
      <c r="AJ22" t="s">
        <v>157</v>
      </c>
      <c r="AK22" t="s">
        <v>69</v>
      </c>
      <c r="AL22" t="s">
        <v>75</v>
      </c>
      <c r="AM22" t="s">
        <v>69</v>
      </c>
      <c r="AN22">
        <v>155.15600000000001</v>
      </c>
      <c r="AO22" t="s">
        <v>69</v>
      </c>
      <c r="AP22" t="s">
        <v>69</v>
      </c>
      <c r="AQ22">
        <v>290</v>
      </c>
      <c r="AR22" t="s">
        <v>157</v>
      </c>
      <c r="AS22" t="s">
        <v>69</v>
      </c>
      <c r="AT22" t="s">
        <v>75</v>
      </c>
      <c r="AU22" t="s">
        <v>69</v>
      </c>
      <c r="AV22">
        <v>155.15600000000001</v>
      </c>
      <c r="AW22" t="s">
        <v>69</v>
      </c>
      <c r="AX22" t="s">
        <v>69</v>
      </c>
      <c r="AY22">
        <v>313</v>
      </c>
      <c r="AZ22" t="s">
        <v>76</v>
      </c>
      <c r="BA22" t="s">
        <v>69</v>
      </c>
      <c r="BB22" t="s">
        <v>75</v>
      </c>
      <c r="BC22" t="s">
        <v>69</v>
      </c>
      <c r="BD22">
        <v>146.18899999999999</v>
      </c>
      <c r="BE22" t="s">
        <v>69</v>
      </c>
      <c r="BF22" t="s">
        <v>69</v>
      </c>
      <c r="BG22">
        <v>349</v>
      </c>
      <c r="BH22" t="s">
        <v>70</v>
      </c>
      <c r="BI22" t="s">
        <v>69</v>
      </c>
      <c r="BJ22" t="s">
        <v>71</v>
      </c>
      <c r="BK22" t="s">
        <v>69</v>
      </c>
      <c r="BL22">
        <v>75.066999999999993</v>
      </c>
      <c r="BM22" t="s">
        <v>69</v>
      </c>
      <c r="BN22" t="s">
        <v>69</v>
      </c>
      <c r="BO22">
        <v>350</v>
      </c>
      <c r="BP22" t="s">
        <v>119</v>
      </c>
      <c r="BQ22" t="s">
        <v>69</v>
      </c>
      <c r="BR22" t="s">
        <v>120</v>
      </c>
      <c r="BS22" t="s">
        <v>69</v>
      </c>
      <c r="BT22">
        <v>147.131</v>
      </c>
      <c r="BU22" t="s">
        <v>69</v>
      </c>
      <c r="BV22" t="s">
        <v>69</v>
      </c>
      <c r="BW22">
        <v>351</v>
      </c>
      <c r="BX22" t="s">
        <v>146</v>
      </c>
      <c r="BY22" t="s">
        <v>153</v>
      </c>
      <c r="BZ22" t="s">
        <v>71</v>
      </c>
      <c r="CA22" t="s">
        <v>153</v>
      </c>
      <c r="CB22">
        <v>115.13200000000001</v>
      </c>
      <c r="CC22" t="s">
        <v>69</v>
      </c>
      <c r="CD22" t="s">
        <v>69</v>
      </c>
      <c r="CE22">
        <v>360</v>
      </c>
      <c r="CF22" t="s">
        <v>76</v>
      </c>
      <c r="CG22" t="s">
        <v>69</v>
      </c>
      <c r="CH22" t="s">
        <v>75</v>
      </c>
      <c r="CI22" t="s">
        <v>69</v>
      </c>
      <c r="CJ22">
        <v>146.18899999999999</v>
      </c>
      <c r="CK22" t="s">
        <v>69</v>
      </c>
      <c r="CL22" t="s">
        <v>69</v>
      </c>
    </row>
    <row r="23" spans="1:90" x14ac:dyDescent="0.25">
      <c r="A23">
        <v>7</v>
      </c>
      <c r="B23" t="str">
        <f>HYPERLINK("http://www.ncbi.nlm.nih.gov/protein/XP_045844373.1","XP_045844373.1")</f>
        <v>XP_045844373.1</v>
      </c>
      <c r="C23">
        <v>50752</v>
      </c>
      <c r="D23" t="str">
        <f>HYPERLINK("http://www.ncbi.nlm.nih.gov/Taxonomy/Browser/wwwtax.cgi?mode=Info&amp;id=9662&amp;lvl=3&amp;lin=f&amp;keep=1&amp;srchmode=1&amp;unlock","9662")</f>
        <v>9662</v>
      </c>
      <c r="E23" t="s">
        <v>66</v>
      </c>
      <c r="F23" t="str">
        <f>HYPERLINK("http://www.ncbi.nlm.nih.gov/Taxonomy/Browser/wwwtax.cgi?mode=Info&amp;id=9662&amp;lvl=3&amp;lin=f&amp;keep=1&amp;srchmode=1&amp;unlock","Meles meles")</f>
        <v>Meles meles</v>
      </c>
      <c r="G23" t="s">
        <v>99</v>
      </c>
      <c r="H23" t="str">
        <f>HYPERLINK("http://www.ncbi.nlm.nih.gov/protein/XP_045844373.1","interferon regulatory factor 3 isoform X2")</f>
        <v>interferon regulatory factor 3 isoform X2</v>
      </c>
      <c r="I23" t="s">
        <v>260</v>
      </c>
      <c r="J23" t="s">
        <v>69</v>
      </c>
      <c r="K23">
        <v>211</v>
      </c>
      <c r="L23" t="s">
        <v>74</v>
      </c>
      <c r="M23" t="s">
        <v>69</v>
      </c>
      <c r="N23" t="s">
        <v>75</v>
      </c>
      <c r="O23" t="s">
        <v>69</v>
      </c>
      <c r="P23">
        <v>174.203</v>
      </c>
      <c r="Q23" t="s">
        <v>69</v>
      </c>
      <c r="R23" t="s">
        <v>69</v>
      </c>
      <c r="S23">
        <v>263</v>
      </c>
      <c r="T23" t="s">
        <v>74</v>
      </c>
      <c r="U23" t="s">
        <v>153</v>
      </c>
      <c r="V23" t="s">
        <v>75</v>
      </c>
      <c r="W23" t="s">
        <v>69</v>
      </c>
      <c r="X23">
        <v>174.203</v>
      </c>
      <c r="Y23" t="s">
        <v>69</v>
      </c>
      <c r="Z23" t="s">
        <v>69</v>
      </c>
      <c r="AA23">
        <v>285</v>
      </c>
      <c r="AB23" t="s">
        <v>74</v>
      </c>
      <c r="AC23" t="s">
        <v>69</v>
      </c>
      <c r="AD23" t="s">
        <v>75</v>
      </c>
      <c r="AE23" t="s">
        <v>69</v>
      </c>
      <c r="AF23">
        <v>174.203</v>
      </c>
      <c r="AG23" t="s">
        <v>69</v>
      </c>
      <c r="AH23" t="s">
        <v>69</v>
      </c>
      <c r="AI23">
        <v>288</v>
      </c>
      <c r="AJ23" t="s">
        <v>157</v>
      </c>
      <c r="AK23" t="s">
        <v>69</v>
      </c>
      <c r="AL23" t="s">
        <v>75</v>
      </c>
      <c r="AM23" t="s">
        <v>69</v>
      </c>
      <c r="AN23">
        <v>155.15600000000001</v>
      </c>
      <c r="AO23" t="s">
        <v>69</v>
      </c>
      <c r="AP23" t="s">
        <v>69</v>
      </c>
      <c r="AQ23">
        <v>290</v>
      </c>
      <c r="AR23" t="s">
        <v>157</v>
      </c>
      <c r="AS23" t="s">
        <v>69</v>
      </c>
      <c r="AT23" t="s">
        <v>75</v>
      </c>
      <c r="AU23" t="s">
        <v>69</v>
      </c>
      <c r="AV23">
        <v>155.15600000000001</v>
      </c>
      <c r="AW23" t="s">
        <v>69</v>
      </c>
      <c r="AX23" t="s">
        <v>69</v>
      </c>
      <c r="AY23">
        <v>313</v>
      </c>
      <c r="AZ23" t="s">
        <v>76</v>
      </c>
      <c r="BA23" t="s">
        <v>69</v>
      </c>
      <c r="BB23" t="s">
        <v>75</v>
      </c>
      <c r="BC23" t="s">
        <v>69</v>
      </c>
      <c r="BD23">
        <v>146.18899999999999</v>
      </c>
      <c r="BE23" t="s">
        <v>69</v>
      </c>
      <c r="BF23" t="s">
        <v>69</v>
      </c>
      <c r="BG23">
        <v>349</v>
      </c>
      <c r="BH23" t="s">
        <v>70</v>
      </c>
      <c r="BI23" t="s">
        <v>69</v>
      </c>
      <c r="BJ23" t="s">
        <v>71</v>
      </c>
      <c r="BK23" t="s">
        <v>69</v>
      </c>
      <c r="BL23">
        <v>75.066999999999993</v>
      </c>
      <c r="BM23" t="s">
        <v>69</v>
      </c>
      <c r="BN23" t="s">
        <v>69</v>
      </c>
      <c r="BO23">
        <v>350</v>
      </c>
      <c r="BP23" t="s">
        <v>119</v>
      </c>
      <c r="BQ23" t="s">
        <v>69</v>
      </c>
      <c r="BR23" t="s">
        <v>120</v>
      </c>
      <c r="BS23" t="s">
        <v>69</v>
      </c>
      <c r="BT23">
        <v>147.131</v>
      </c>
      <c r="BU23" t="s">
        <v>69</v>
      </c>
      <c r="BV23" t="s">
        <v>69</v>
      </c>
      <c r="BW23">
        <v>351</v>
      </c>
      <c r="BX23" t="s">
        <v>146</v>
      </c>
      <c r="BY23" t="s">
        <v>153</v>
      </c>
      <c r="BZ23" t="s">
        <v>71</v>
      </c>
      <c r="CA23" t="s">
        <v>153</v>
      </c>
      <c r="CB23">
        <v>115.13200000000001</v>
      </c>
      <c r="CC23" t="s">
        <v>69</v>
      </c>
      <c r="CD23" t="s">
        <v>69</v>
      </c>
      <c r="CE23">
        <v>360</v>
      </c>
      <c r="CF23" t="s">
        <v>76</v>
      </c>
      <c r="CG23" t="s">
        <v>69</v>
      </c>
      <c r="CH23" t="s">
        <v>75</v>
      </c>
      <c r="CI23" t="s">
        <v>69</v>
      </c>
      <c r="CJ23">
        <v>146.18899999999999</v>
      </c>
      <c r="CK23" t="s">
        <v>69</v>
      </c>
      <c r="CL23" t="s">
        <v>69</v>
      </c>
    </row>
    <row r="24" spans="1:90" x14ac:dyDescent="0.25">
      <c r="A24">
        <v>7</v>
      </c>
      <c r="B24" t="str">
        <f>HYPERLINK("http://www.ncbi.nlm.nih.gov/protein/XP_017521112.1","XP_017521112.1")</f>
        <v>XP_017521112.1</v>
      </c>
      <c r="C24">
        <v>56064</v>
      </c>
      <c r="D24" t="str">
        <f>HYPERLINK("http://www.ncbi.nlm.nih.gov/Taxonomy/Browser/wwwtax.cgi?mode=Info&amp;id=9974&amp;lvl=3&amp;lin=f&amp;keep=1&amp;srchmode=1&amp;unlock","9974")</f>
        <v>9974</v>
      </c>
      <c r="E24" t="s">
        <v>66</v>
      </c>
      <c r="F24" t="str">
        <f>HYPERLINK("http://www.ncbi.nlm.nih.gov/Taxonomy/Browser/wwwtax.cgi?mode=Info&amp;id=9974&amp;lvl=3&amp;lin=f&amp;keep=1&amp;srchmode=1&amp;unlock","Manis javanica")</f>
        <v>Manis javanica</v>
      </c>
      <c r="G24" t="s">
        <v>100</v>
      </c>
      <c r="H24" t="str">
        <f>HYPERLINK("http://www.ncbi.nlm.nih.gov/protein/XP_017521112.1","interferon regulatory factor 3 isoform X1")</f>
        <v>interferon regulatory factor 3 isoform X1</v>
      </c>
      <c r="I24" t="s">
        <v>260</v>
      </c>
      <c r="J24" t="s">
        <v>69</v>
      </c>
      <c r="K24">
        <v>263</v>
      </c>
      <c r="L24" t="s">
        <v>74</v>
      </c>
      <c r="M24" t="s">
        <v>69</v>
      </c>
      <c r="N24" t="s">
        <v>75</v>
      </c>
      <c r="O24" t="s">
        <v>69</v>
      </c>
      <c r="P24">
        <v>174.203</v>
      </c>
      <c r="Q24" t="s">
        <v>69</v>
      </c>
      <c r="R24" t="s">
        <v>69</v>
      </c>
      <c r="S24">
        <v>315</v>
      </c>
      <c r="T24" t="s">
        <v>74</v>
      </c>
      <c r="U24" t="s">
        <v>153</v>
      </c>
      <c r="V24" t="s">
        <v>75</v>
      </c>
      <c r="W24" t="s">
        <v>69</v>
      </c>
      <c r="X24">
        <v>174.203</v>
      </c>
      <c r="Y24" t="s">
        <v>69</v>
      </c>
      <c r="Z24" t="s">
        <v>69</v>
      </c>
      <c r="AA24">
        <v>337</v>
      </c>
      <c r="AB24" t="s">
        <v>74</v>
      </c>
      <c r="AC24" t="s">
        <v>69</v>
      </c>
      <c r="AD24" t="s">
        <v>75</v>
      </c>
      <c r="AE24" t="s">
        <v>69</v>
      </c>
      <c r="AF24">
        <v>174.203</v>
      </c>
      <c r="AG24" t="s">
        <v>69</v>
      </c>
      <c r="AH24" t="s">
        <v>69</v>
      </c>
      <c r="AI24">
        <v>340</v>
      </c>
      <c r="AJ24" t="s">
        <v>157</v>
      </c>
      <c r="AK24" t="s">
        <v>69</v>
      </c>
      <c r="AL24" t="s">
        <v>75</v>
      </c>
      <c r="AM24" t="s">
        <v>69</v>
      </c>
      <c r="AN24">
        <v>155.15600000000001</v>
      </c>
      <c r="AO24" t="s">
        <v>69</v>
      </c>
      <c r="AP24" t="s">
        <v>69</v>
      </c>
      <c r="AQ24">
        <v>342</v>
      </c>
      <c r="AR24" t="s">
        <v>157</v>
      </c>
      <c r="AS24" t="s">
        <v>69</v>
      </c>
      <c r="AT24" t="s">
        <v>75</v>
      </c>
      <c r="AU24" t="s">
        <v>69</v>
      </c>
      <c r="AV24">
        <v>155.15600000000001</v>
      </c>
      <c r="AW24" t="s">
        <v>69</v>
      </c>
      <c r="AX24" t="s">
        <v>69</v>
      </c>
      <c r="AY24">
        <v>365</v>
      </c>
      <c r="AZ24" t="s">
        <v>76</v>
      </c>
      <c r="BA24" t="s">
        <v>69</v>
      </c>
      <c r="BB24" t="s">
        <v>75</v>
      </c>
      <c r="BC24" t="s">
        <v>69</v>
      </c>
      <c r="BD24">
        <v>146.18899999999999</v>
      </c>
      <c r="BE24" t="s">
        <v>69</v>
      </c>
      <c r="BF24" t="s">
        <v>69</v>
      </c>
      <c r="BG24">
        <v>401</v>
      </c>
      <c r="BH24" t="s">
        <v>70</v>
      </c>
      <c r="BI24" t="s">
        <v>69</v>
      </c>
      <c r="BJ24" t="s">
        <v>71</v>
      </c>
      <c r="BK24" t="s">
        <v>69</v>
      </c>
      <c r="BL24">
        <v>75.066999999999993</v>
      </c>
      <c r="BM24" t="s">
        <v>69</v>
      </c>
      <c r="BN24" t="s">
        <v>69</v>
      </c>
      <c r="BO24">
        <v>402</v>
      </c>
      <c r="BP24" t="s">
        <v>119</v>
      </c>
      <c r="BQ24" t="s">
        <v>69</v>
      </c>
      <c r="BR24" t="s">
        <v>120</v>
      </c>
      <c r="BS24" t="s">
        <v>69</v>
      </c>
      <c r="BT24">
        <v>147.131</v>
      </c>
      <c r="BU24" t="s">
        <v>69</v>
      </c>
      <c r="BV24" t="s">
        <v>69</v>
      </c>
      <c r="BW24">
        <v>403</v>
      </c>
      <c r="BX24" t="s">
        <v>146</v>
      </c>
      <c r="BY24" t="s">
        <v>153</v>
      </c>
      <c r="BZ24" t="s">
        <v>71</v>
      </c>
      <c r="CA24" t="s">
        <v>153</v>
      </c>
      <c r="CB24">
        <v>115.13200000000001</v>
      </c>
      <c r="CC24" t="s">
        <v>69</v>
      </c>
      <c r="CD24" t="s">
        <v>69</v>
      </c>
      <c r="CE24">
        <v>412</v>
      </c>
      <c r="CF24" t="s">
        <v>76</v>
      </c>
      <c r="CG24" t="s">
        <v>69</v>
      </c>
      <c r="CH24" t="s">
        <v>75</v>
      </c>
      <c r="CI24" t="s">
        <v>69</v>
      </c>
      <c r="CJ24">
        <v>146.18899999999999</v>
      </c>
      <c r="CK24" t="s">
        <v>69</v>
      </c>
      <c r="CL24" t="s">
        <v>69</v>
      </c>
    </row>
    <row r="25" spans="1:90" x14ac:dyDescent="0.25">
      <c r="A25">
        <v>7</v>
      </c>
      <c r="B25" t="str">
        <f>HYPERLINK("http://www.ncbi.nlm.nih.gov/protein/XP_020741254.1","XP_020741254.1")</f>
        <v>XP_020741254.1</v>
      </c>
      <c r="C25">
        <v>48218</v>
      </c>
      <c r="D25" t="str">
        <f>HYPERLINK("http://www.ncbi.nlm.nih.gov/Taxonomy/Browser/wwwtax.cgi?mode=Info&amp;id=9880&amp;lvl=3&amp;lin=f&amp;keep=1&amp;srchmode=1&amp;unlock","9880")</f>
        <v>9880</v>
      </c>
      <c r="E25" t="s">
        <v>66</v>
      </c>
      <c r="F25" t="str">
        <f>HYPERLINK("http://www.ncbi.nlm.nih.gov/Taxonomy/Browser/wwwtax.cgi?mode=Info&amp;id=9880&amp;lvl=3&amp;lin=f&amp;keep=1&amp;srchmode=1&amp;unlock","Odocoileus virginianus texanus")</f>
        <v>Odocoileus virginianus texanus</v>
      </c>
      <c r="G25" t="s">
        <v>81</v>
      </c>
      <c r="H25" t="str">
        <f>HYPERLINK("http://www.ncbi.nlm.nih.gov/protein/XP_020741254.1","interferon regulatory factor 3")</f>
        <v>interferon regulatory factor 3</v>
      </c>
      <c r="I25" t="s">
        <v>260</v>
      </c>
      <c r="J25" t="s">
        <v>69</v>
      </c>
      <c r="K25">
        <v>209</v>
      </c>
      <c r="L25" t="s">
        <v>74</v>
      </c>
      <c r="M25" t="s">
        <v>69</v>
      </c>
      <c r="N25" t="s">
        <v>75</v>
      </c>
      <c r="O25" t="s">
        <v>69</v>
      </c>
      <c r="P25">
        <v>174.203</v>
      </c>
      <c r="Q25" t="s">
        <v>69</v>
      </c>
      <c r="R25" t="s">
        <v>69</v>
      </c>
      <c r="S25">
        <v>261</v>
      </c>
      <c r="T25" t="s">
        <v>74</v>
      </c>
      <c r="U25" t="s">
        <v>153</v>
      </c>
      <c r="V25" t="s">
        <v>75</v>
      </c>
      <c r="W25" t="s">
        <v>69</v>
      </c>
      <c r="X25">
        <v>174.203</v>
      </c>
      <c r="Y25" t="s">
        <v>69</v>
      </c>
      <c r="Z25" t="s">
        <v>69</v>
      </c>
      <c r="AA25">
        <v>283</v>
      </c>
      <c r="AB25" t="s">
        <v>74</v>
      </c>
      <c r="AC25" t="s">
        <v>69</v>
      </c>
      <c r="AD25" t="s">
        <v>75</v>
      </c>
      <c r="AE25" t="s">
        <v>69</v>
      </c>
      <c r="AF25">
        <v>174.203</v>
      </c>
      <c r="AG25" t="s">
        <v>69</v>
      </c>
      <c r="AH25" t="s">
        <v>69</v>
      </c>
      <c r="AI25">
        <v>286</v>
      </c>
      <c r="AJ25" t="s">
        <v>157</v>
      </c>
      <c r="AK25" t="s">
        <v>69</v>
      </c>
      <c r="AL25" t="s">
        <v>75</v>
      </c>
      <c r="AM25" t="s">
        <v>69</v>
      </c>
      <c r="AN25">
        <v>155.15600000000001</v>
      </c>
      <c r="AO25" t="s">
        <v>69</v>
      </c>
      <c r="AP25" t="s">
        <v>69</v>
      </c>
      <c r="AQ25">
        <v>288</v>
      </c>
      <c r="AR25" t="s">
        <v>157</v>
      </c>
      <c r="AS25" t="s">
        <v>69</v>
      </c>
      <c r="AT25" t="s">
        <v>75</v>
      </c>
      <c r="AU25" t="s">
        <v>69</v>
      </c>
      <c r="AV25">
        <v>155.15600000000001</v>
      </c>
      <c r="AW25" t="s">
        <v>69</v>
      </c>
      <c r="AX25" t="s">
        <v>69</v>
      </c>
      <c r="AY25">
        <v>311</v>
      </c>
      <c r="AZ25" t="s">
        <v>76</v>
      </c>
      <c r="BA25" t="s">
        <v>69</v>
      </c>
      <c r="BB25" t="s">
        <v>75</v>
      </c>
      <c r="BC25" t="s">
        <v>69</v>
      </c>
      <c r="BD25">
        <v>146.18899999999999</v>
      </c>
      <c r="BE25" t="s">
        <v>69</v>
      </c>
      <c r="BF25" t="s">
        <v>69</v>
      </c>
      <c r="BG25">
        <v>347</v>
      </c>
      <c r="BH25" t="s">
        <v>70</v>
      </c>
      <c r="BI25" t="s">
        <v>69</v>
      </c>
      <c r="BJ25" t="s">
        <v>71</v>
      </c>
      <c r="BK25" t="s">
        <v>69</v>
      </c>
      <c r="BL25">
        <v>75.066999999999993</v>
      </c>
      <c r="BM25" t="s">
        <v>69</v>
      </c>
      <c r="BN25" t="s">
        <v>69</v>
      </c>
      <c r="BO25">
        <v>348</v>
      </c>
      <c r="BP25" t="s">
        <v>147</v>
      </c>
      <c r="BQ25" t="s">
        <v>153</v>
      </c>
      <c r="BR25" t="s">
        <v>148</v>
      </c>
      <c r="BS25" t="s">
        <v>153</v>
      </c>
      <c r="BT25">
        <v>146.14599999999999</v>
      </c>
      <c r="BU25" t="s">
        <v>69</v>
      </c>
      <c r="BV25" t="s">
        <v>69</v>
      </c>
      <c r="BW25">
        <v>349</v>
      </c>
      <c r="BX25" t="s">
        <v>73</v>
      </c>
      <c r="BY25" t="s">
        <v>153</v>
      </c>
      <c r="BZ25" t="s">
        <v>71</v>
      </c>
      <c r="CA25" t="s">
        <v>153</v>
      </c>
      <c r="CB25">
        <v>89.093999999999994</v>
      </c>
      <c r="CC25" t="s">
        <v>69</v>
      </c>
      <c r="CD25" t="s">
        <v>69</v>
      </c>
      <c r="CE25">
        <v>358</v>
      </c>
      <c r="CF25" t="s">
        <v>76</v>
      </c>
      <c r="CG25" t="s">
        <v>69</v>
      </c>
      <c r="CH25" t="s">
        <v>75</v>
      </c>
      <c r="CI25" t="s">
        <v>69</v>
      </c>
      <c r="CJ25">
        <v>146.18899999999999</v>
      </c>
      <c r="CK25" t="s">
        <v>69</v>
      </c>
      <c r="CL25" t="s">
        <v>69</v>
      </c>
    </row>
    <row r="26" spans="1:90" x14ac:dyDescent="0.25">
      <c r="A26">
        <v>7</v>
      </c>
      <c r="B26" t="str">
        <f>HYPERLINK("http://www.ncbi.nlm.nih.gov/protein/AAZ38325.1","AAZ38325.1")</f>
        <v>AAZ38325.1</v>
      </c>
      <c r="C26">
        <v>136186</v>
      </c>
      <c r="D26" t="str">
        <f>HYPERLINK("http://www.ncbi.nlm.nih.gov/Taxonomy/Browser/wwwtax.cgi?mode=Info&amp;id=9913&amp;lvl=3&amp;lin=f&amp;keep=1&amp;srchmode=1&amp;unlock","9913")</f>
        <v>9913</v>
      </c>
      <c r="E26" t="s">
        <v>66</v>
      </c>
      <c r="F26" t="str">
        <f>HYPERLINK("http://www.ncbi.nlm.nih.gov/Taxonomy/Browser/wwwtax.cgi?mode=Info&amp;id=9913&amp;lvl=3&amp;lin=f&amp;keep=1&amp;srchmode=1&amp;unlock","Bos taurus")</f>
        <v>Bos taurus</v>
      </c>
      <c r="G26" t="s">
        <v>82</v>
      </c>
      <c r="H26" t="str">
        <f>HYPERLINK("http://www.ncbi.nlm.nih.gov/protein/AAZ38325.1","interferon regulatory factor 3")</f>
        <v>interferon regulatory factor 3</v>
      </c>
      <c r="I26" t="s">
        <v>260</v>
      </c>
      <c r="J26" t="s">
        <v>69</v>
      </c>
      <c r="K26">
        <v>207</v>
      </c>
      <c r="L26" t="s">
        <v>74</v>
      </c>
      <c r="M26" t="s">
        <v>69</v>
      </c>
      <c r="N26" t="s">
        <v>75</v>
      </c>
      <c r="O26" t="s">
        <v>69</v>
      </c>
      <c r="P26">
        <v>174.203</v>
      </c>
      <c r="Q26" t="s">
        <v>69</v>
      </c>
      <c r="R26" t="s">
        <v>69</v>
      </c>
      <c r="S26">
        <v>259</v>
      </c>
      <c r="T26" t="s">
        <v>74</v>
      </c>
      <c r="U26" t="s">
        <v>153</v>
      </c>
      <c r="V26" t="s">
        <v>75</v>
      </c>
      <c r="W26" t="s">
        <v>69</v>
      </c>
      <c r="X26">
        <v>174.203</v>
      </c>
      <c r="Y26" t="s">
        <v>69</v>
      </c>
      <c r="Z26" t="s">
        <v>69</v>
      </c>
      <c r="AA26">
        <v>281</v>
      </c>
      <c r="AB26" t="s">
        <v>74</v>
      </c>
      <c r="AC26" t="s">
        <v>69</v>
      </c>
      <c r="AD26" t="s">
        <v>75</v>
      </c>
      <c r="AE26" t="s">
        <v>69</v>
      </c>
      <c r="AF26">
        <v>174.203</v>
      </c>
      <c r="AG26" t="s">
        <v>69</v>
      </c>
      <c r="AH26" t="s">
        <v>69</v>
      </c>
      <c r="AI26">
        <v>284</v>
      </c>
      <c r="AJ26" t="s">
        <v>157</v>
      </c>
      <c r="AK26" t="s">
        <v>69</v>
      </c>
      <c r="AL26" t="s">
        <v>75</v>
      </c>
      <c r="AM26" t="s">
        <v>69</v>
      </c>
      <c r="AN26">
        <v>155.15600000000001</v>
      </c>
      <c r="AO26" t="s">
        <v>69</v>
      </c>
      <c r="AP26" t="s">
        <v>69</v>
      </c>
      <c r="AQ26">
        <v>286</v>
      </c>
      <c r="AR26" t="s">
        <v>157</v>
      </c>
      <c r="AS26" t="s">
        <v>69</v>
      </c>
      <c r="AT26" t="s">
        <v>75</v>
      </c>
      <c r="AU26" t="s">
        <v>69</v>
      </c>
      <c r="AV26">
        <v>155.15600000000001</v>
      </c>
      <c r="AW26" t="s">
        <v>69</v>
      </c>
      <c r="AX26" t="s">
        <v>69</v>
      </c>
      <c r="AY26">
        <v>309</v>
      </c>
      <c r="AZ26" t="s">
        <v>76</v>
      </c>
      <c r="BA26" t="s">
        <v>69</v>
      </c>
      <c r="BB26" t="s">
        <v>75</v>
      </c>
      <c r="BC26" t="s">
        <v>69</v>
      </c>
      <c r="BD26">
        <v>146.18899999999999</v>
      </c>
      <c r="BE26" t="s">
        <v>69</v>
      </c>
      <c r="BF26" t="s">
        <v>69</v>
      </c>
      <c r="BG26">
        <v>345</v>
      </c>
      <c r="BH26" t="s">
        <v>70</v>
      </c>
      <c r="BI26" t="s">
        <v>69</v>
      </c>
      <c r="BJ26" t="s">
        <v>71</v>
      </c>
      <c r="BK26" t="s">
        <v>69</v>
      </c>
      <c r="BL26">
        <v>75.066999999999993</v>
      </c>
      <c r="BM26" t="s">
        <v>69</v>
      </c>
      <c r="BN26" t="s">
        <v>69</v>
      </c>
      <c r="BO26">
        <v>346</v>
      </c>
      <c r="BP26" t="s">
        <v>147</v>
      </c>
      <c r="BQ26" t="s">
        <v>153</v>
      </c>
      <c r="BR26" t="s">
        <v>148</v>
      </c>
      <c r="BS26" t="s">
        <v>153</v>
      </c>
      <c r="BT26">
        <v>146.14599999999999</v>
      </c>
      <c r="BU26" t="s">
        <v>69</v>
      </c>
      <c r="BV26" t="s">
        <v>69</v>
      </c>
      <c r="BW26">
        <v>347</v>
      </c>
      <c r="BX26" t="s">
        <v>155</v>
      </c>
      <c r="BY26" t="s">
        <v>69</v>
      </c>
      <c r="BZ26" t="s">
        <v>150</v>
      </c>
      <c r="CA26" t="s">
        <v>69</v>
      </c>
      <c r="CB26">
        <v>105.093</v>
      </c>
      <c r="CC26" t="s">
        <v>69</v>
      </c>
      <c r="CD26" t="s">
        <v>69</v>
      </c>
      <c r="CE26">
        <v>356</v>
      </c>
      <c r="CF26" t="s">
        <v>76</v>
      </c>
      <c r="CG26" t="s">
        <v>69</v>
      </c>
      <c r="CH26" t="s">
        <v>75</v>
      </c>
      <c r="CI26" t="s">
        <v>69</v>
      </c>
      <c r="CJ26">
        <v>146.18899999999999</v>
      </c>
      <c r="CK26" t="s">
        <v>69</v>
      </c>
      <c r="CL26" t="s">
        <v>69</v>
      </c>
    </row>
    <row r="27" spans="1:90" x14ac:dyDescent="0.25">
      <c r="A27">
        <v>7</v>
      </c>
      <c r="B27" t="str">
        <f>HYPERLINK("http://www.ncbi.nlm.nih.gov/protein/XP_042130580.1","XP_042130580.1")</f>
        <v>XP_042130580.1</v>
      </c>
      <c r="C27">
        <v>54287</v>
      </c>
      <c r="D27" t="str">
        <f>HYPERLINK("http://www.ncbi.nlm.nih.gov/Taxonomy/Browser/wwwtax.cgi?mode=Info&amp;id=230844&amp;lvl=3&amp;lin=f&amp;keep=1&amp;srchmode=1&amp;unlock","230844")</f>
        <v>230844</v>
      </c>
      <c r="E27" t="s">
        <v>66</v>
      </c>
      <c r="F27" t="str">
        <f>HYPERLINK("http://www.ncbi.nlm.nih.gov/Taxonomy/Browser/wwwtax.cgi?mode=Info&amp;id=230844&amp;lvl=3&amp;lin=f&amp;keep=1&amp;srchmode=1&amp;unlock","Peromyscus maniculatus bairdii")</f>
        <v>Peromyscus maniculatus bairdii</v>
      </c>
      <c r="G27" t="s">
        <v>88</v>
      </c>
      <c r="H27" t="str">
        <f>HYPERLINK("http://www.ncbi.nlm.nih.gov/protein/XP_042130580.1","interferon regulatory factor 3 isoform X3")</f>
        <v>interferon regulatory factor 3 isoform X3</v>
      </c>
      <c r="I27" t="s">
        <v>260</v>
      </c>
      <c r="J27" t="s">
        <v>69</v>
      </c>
      <c r="K27">
        <v>205</v>
      </c>
      <c r="L27" t="s">
        <v>74</v>
      </c>
      <c r="M27" t="s">
        <v>69</v>
      </c>
      <c r="N27" t="s">
        <v>75</v>
      </c>
      <c r="O27" t="s">
        <v>69</v>
      </c>
      <c r="P27">
        <v>174.203</v>
      </c>
      <c r="Q27" t="s">
        <v>69</v>
      </c>
      <c r="R27" t="s">
        <v>69</v>
      </c>
      <c r="S27">
        <v>257</v>
      </c>
      <c r="T27" t="s">
        <v>157</v>
      </c>
      <c r="U27" t="s">
        <v>69</v>
      </c>
      <c r="V27" t="s">
        <v>75</v>
      </c>
      <c r="W27" t="s">
        <v>69</v>
      </c>
      <c r="X27">
        <v>155.15600000000001</v>
      </c>
      <c r="Y27" t="s">
        <v>69</v>
      </c>
      <c r="Z27" t="s">
        <v>69</v>
      </c>
      <c r="AA27">
        <v>279</v>
      </c>
      <c r="AB27" t="s">
        <v>74</v>
      </c>
      <c r="AC27" t="s">
        <v>69</v>
      </c>
      <c r="AD27" t="s">
        <v>75</v>
      </c>
      <c r="AE27" t="s">
        <v>69</v>
      </c>
      <c r="AF27">
        <v>174.203</v>
      </c>
      <c r="AG27" t="s">
        <v>69</v>
      </c>
      <c r="AH27" t="s">
        <v>69</v>
      </c>
      <c r="AI27">
        <v>282</v>
      </c>
      <c r="AJ27" t="s">
        <v>157</v>
      </c>
      <c r="AK27" t="s">
        <v>69</v>
      </c>
      <c r="AL27" t="s">
        <v>75</v>
      </c>
      <c r="AM27" t="s">
        <v>69</v>
      </c>
      <c r="AN27">
        <v>155.15600000000001</v>
      </c>
      <c r="AO27" t="s">
        <v>69</v>
      </c>
      <c r="AP27" t="s">
        <v>69</v>
      </c>
      <c r="AQ27">
        <v>284</v>
      </c>
      <c r="AR27" t="s">
        <v>157</v>
      </c>
      <c r="AS27" t="s">
        <v>69</v>
      </c>
      <c r="AT27" t="s">
        <v>75</v>
      </c>
      <c r="AU27" t="s">
        <v>69</v>
      </c>
      <c r="AV27">
        <v>155.15600000000001</v>
      </c>
      <c r="AW27" t="s">
        <v>69</v>
      </c>
      <c r="AX27" t="s">
        <v>69</v>
      </c>
      <c r="AY27">
        <v>307</v>
      </c>
      <c r="AZ27" t="s">
        <v>76</v>
      </c>
      <c r="BA27" t="s">
        <v>69</v>
      </c>
      <c r="BB27" t="s">
        <v>75</v>
      </c>
      <c r="BC27" t="s">
        <v>69</v>
      </c>
      <c r="BD27">
        <v>146.18899999999999</v>
      </c>
      <c r="BE27" t="s">
        <v>69</v>
      </c>
      <c r="BF27" t="s">
        <v>69</v>
      </c>
      <c r="BG27">
        <v>343</v>
      </c>
      <c r="BH27" t="s">
        <v>70</v>
      </c>
      <c r="BI27" t="s">
        <v>69</v>
      </c>
      <c r="BJ27" t="s">
        <v>71</v>
      </c>
      <c r="BK27" t="s">
        <v>69</v>
      </c>
      <c r="BL27">
        <v>75.066999999999993</v>
      </c>
      <c r="BM27" t="s">
        <v>69</v>
      </c>
      <c r="BN27" t="s">
        <v>69</v>
      </c>
      <c r="BO27">
        <v>344</v>
      </c>
      <c r="BP27" t="s">
        <v>119</v>
      </c>
      <c r="BQ27" t="s">
        <v>69</v>
      </c>
      <c r="BR27" t="s">
        <v>120</v>
      </c>
      <c r="BS27" t="s">
        <v>69</v>
      </c>
      <c r="BT27">
        <v>147.131</v>
      </c>
      <c r="BU27" t="s">
        <v>69</v>
      </c>
      <c r="BV27" t="s">
        <v>69</v>
      </c>
      <c r="BW27">
        <v>345</v>
      </c>
      <c r="BX27" t="s">
        <v>155</v>
      </c>
      <c r="BY27" t="s">
        <v>69</v>
      </c>
      <c r="BZ27" t="s">
        <v>150</v>
      </c>
      <c r="CA27" t="s">
        <v>69</v>
      </c>
      <c r="CB27">
        <v>105.093</v>
      </c>
      <c r="CC27" t="s">
        <v>69</v>
      </c>
      <c r="CD27" t="s">
        <v>69</v>
      </c>
      <c r="CE27">
        <v>354</v>
      </c>
      <c r="CF27" t="s">
        <v>76</v>
      </c>
      <c r="CG27" t="s">
        <v>69</v>
      </c>
      <c r="CH27" t="s">
        <v>75</v>
      </c>
      <c r="CI27" t="s">
        <v>69</v>
      </c>
      <c r="CJ27">
        <v>146.18899999999999</v>
      </c>
      <c r="CK27" t="s">
        <v>69</v>
      </c>
      <c r="CL27" t="s">
        <v>69</v>
      </c>
    </row>
    <row r="28" spans="1:90" x14ac:dyDescent="0.25">
      <c r="A28">
        <v>7</v>
      </c>
      <c r="B28" t="str">
        <f>HYPERLINK("http://www.ncbi.nlm.nih.gov/protein/XP_006229083.1","XP_006229083.1")</f>
        <v>XP_006229083.1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HYPERLINK("http://www.ncbi.nlm.nih.gov/protein/XP_006229083.1","interferon regulatory factor 3 isoform X1")</f>
        <v>interferon regulatory factor 3 isoform X1</v>
      </c>
      <c r="I28" t="s">
        <v>260</v>
      </c>
      <c r="J28" t="s">
        <v>69</v>
      </c>
      <c r="K28">
        <v>251</v>
      </c>
      <c r="L28" t="s">
        <v>74</v>
      </c>
      <c r="M28" t="s">
        <v>69</v>
      </c>
      <c r="N28" t="s">
        <v>75</v>
      </c>
      <c r="O28" t="s">
        <v>69</v>
      </c>
      <c r="P28">
        <v>174.203</v>
      </c>
      <c r="Q28" t="s">
        <v>69</v>
      </c>
      <c r="R28" t="s">
        <v>69</v>
      </c>
      <c r="S28">
        <v>303</v>
      </c>
      <c r="T28" t="s">
        <v>147</v>
      </c>
      <c r="U28" t="s">
        <v>153</v>
      </c>
      <c r="V28" t="s">
        <v>148</v>
      </c>
      <c r="W28" t="s">
        <v>153</v>
      </c>
      <c r="X28">
        <v>146.14599999999999</v>
      </c>
      <c r="Y28" t="s">
        <v>69</v>
      </c>
      <c r="Z28" t="s">
        <v>69</v>
      </c>
      <c r="AA28">
        <v>325</v>
      </c>
      <c r="AB28" t="s">
        <v>74</v>
      </c>
      <c r="AC28" t="s">
        <v>69</v>
      </c>
      <c r="AD28" t="s">
        <v>75</v>
      </c>
      <c r="AE28" t="s">
        <v>69</v>
      </c>
      <c r="AF28">
        <v>174.203</v>
      </c>
      <c r="AG28" t="s">
        <v>69</v>
      </c>
      <c r="AH28" t="s">
        <v>69</v>
      </c>
      <c r="AI28">
        <v>328</v>
      </c>
      <c r="AJ28" t="s">
        <v>157</v>
      </c>
      <c r="AK28" t="s">
        <v>69</v>
      </c>
      <c r="AL28" t="s">
        <v>75</v>
      </c>
      <c r="AM28" t="s">
        <v>69</v>
      </c>
      <c r="AN28">
        <v>155.15600000000001</v>
      </c>
      <c r="AO28" t="s">
        <v>69</v>
      </c>
      <c r="AP28" t="s">
        <v>69</v>
      </c>
      <c r="AQ28">
        <v>330</v>
      </c>
      <c r="AR28" t="s">
        <v>157</v>
      </c>
      <c r="AS28" t="s">
        <v>69</v>
      </c>
      <c r="AT28" t="s">
        <v>75</v>
      </c>
      <c r="AU28" t="s">
        <v>69</v>
      </c>
      <c r="AV28">
        <v>155.15600000000001</v>
      </c>
      <c r="AW28" t="s">
        <v>69</v>
      </c>
      <c r="AX28" t="s">
        <v>69</v>
      </c>
      <c r="AY28">
        <v>353</v>
      </c>
      <c r="AZ28" t="s">
        <v>76</v>
      </c>
      <c r="BA28" t="s">
        <v>69</v>
      </c>
      <c r="BB28" t="s">
        <v>75</v>
      </c>
      <c r="BC28" t="s">
        <v>69</v>
      </c>
      <c r="BD28">
        <v>146.18899999999999</v>
      </c>
      <c r="BE28" t="s">
        <v>69</v>
      </c>
      <c r="BF28" t="s">
        <v>69</v>
      </c>
      <c r="BG28">
        <v>389</v>
      </c>
      <c r="BH28" t="s">
        <v>70</v>
      </c>
      <c r="BI28" t="s">
        <v>69</v>
      </c>
      <c r="BJ28" t="s">
        <v>71</v>
      </c>
      <c r="BK28" t="s">
        <v>69</v>
      </c>
      <c r="BL28">
        <v>75.066999999999993</v>
      </c>
      <c r="BM28" t="s">
        <v>69</v>
      </c>
      <c r="BN28" t="s">
        <v>69</v>
      </c>
      <c r="BO28">
        <v>390</v>
      </c>
      <c r="BP28" t="s">
        <v>119</v>
      </c>
      <c r="BQ28" t="s">
        <v>69</v>
      </c>
      <c r="BR28" t="s">
        <v>120</v>
      </c>
      <c r="BS28" t="s">
        <v>69</v>
      </c>
      <c r="BT28">
        <v>147.131</v>
      </c>
      <c r="BU28" t="s">
        <v>69</v>
      </c>
      <c r="BV28" t="s">
        <v>69</v>
      </c>
      <c r="BW28">
        <v>391</v>
      </c>
      <c r="BX28" t="s">
        <v>155</v>
      </c>
      <c r="BY28" t="s">
        <v>69</v>
      </c>
      <c r="BZ28" t="s">
        <v>150</v>
      </c>
      <c r="CA28" t="s">
        <v>69</v>
      </c>
      <c r="CB28">
        <v>105.093</v>
      </c>
      <c r="CC28" t="s">
        <v>69</v>
      </c>
      <c r="CD28" t="s">
        <v>69</v>
      </c>
      <c r="CE28">
        <v>400</v>
      </c>
      <c r="CF28" t="s">
        <v>76</v>
      </c>
      <c r="CG28" t="s">
        <v>69</v>
      </c>
      <c r="CH28" t="s">
        <v>75</v>
      </c>
      <c r="CI28" t="s">
        <v>69</v>
      </c>
      <c r="CJ28">
        <v>146.18899999999999</v>
      </c>
      <c r="CK28" t="s">
        <v>69</v>
      </c>
      <c r="CL28" t="s">
        <v>69</v>
      </c>
    </row>
    <row r="29" spans="1:90" x14ac:dyDescent="0.25">
      <c r="A29">
        <v>7</v>
      </c>
      <c r="B29" t="str">
        <f>HYPERLINK("http://www.ncbi.nlm.nih.gov/protein/XP_012979714.2","XP_012979714.2")</f>
        <v>XP_012979714.2</v>
      </c>
      <c r="C29">
        <v>54410</v>
      </c>
      <c r="D29" t="str">
        <f>HYPERLINK("http://www.ncbi.nlm.nih.gov/Taxonomy/Browser/wwwtax.cgi?mode=Info&amp;id=10036&amp;lvl=3&amp;lin=f&amp;keep=1&amp;srchmode=1&amp;unlock","10036")</f>
        <v>10036</v>
      </c>
      <c r="E29" t="s">
        <v>66</v>
      </c>
      <c r="F29" t="str">
        <f>HYPERLINK("http://www.ncbi.nlm.nih.gov/Taxonomy/Browser/wwwtax.cgi?mode=Info&amp;id=10036&amp;lvl=3&amp;lin=f&amp;keep=1&amp;srchmode=1&amp;unlock","Mesocricetus auratus")</f>
        <v>Mesocricetus auratus</v>
      </c>
      <c r="G29" t="s">
        <v>87</v>
      </c>
      <c r="H29" t="str">
        <f>HYPERLINK("http://www.ncbi.nlm.nih.gov/protein/XP_012979714.2","interferon regulatory factor 3 isoform X1")</f>
        <v>interferon regulatory factor 3 isoform X1</v>
      </c>
      <c r="I29" t="s">
        <v>260</v>
      </c>
      <c r="J29" t="s">
        <v>69</v>
      </c>
      <c r="K29">
        <v>236</v>
      </c>
      <c r="L29" t="s">
        <v>74</v>
      </c>
      <c r="M29" t="s">
        <v>69</v>
      </c>
      <c r="N29" t="s">
        <v>75</v>
      </c>
      <c r="O29" t="s">
        <v>69</v>
      </c>
      <c r="P29">
        <v>174.203</v>
      </c>
      <c r="Q29" t="s">
        <v>69</v>
      </c>
      <c r="R29" t="s">
        <v>69</v>
      </c>
      <c r="S29">
        <v>288</v>
      </c>
      <c r="T29" t="s">
        <v>157</v>
      </c>
      <c r="U29" t="s">
        <v>69</v>
      </c>
      <c r="V29" t="s">
        <v>75</v>
      </c>
      <c r="W29" t="s">
        <v>69</v>
      </c>
      <c r="X29">
        <v>155.15600000000001</v>
      </c>
      <c r="Y29" t="s">
        <v>69</v>
      </c>
      <c r="Z29" t="s">
        <v>69</v>
      </c>
      <c r="AA29">
        <v>310</v>
      </c>
      <c r="AB29" t="s">
        <v>74</v>
      </c>
      <c r="AC29" t="s">
        <v>69</v>
      </c>
      <c r="AD29" t="s">
        <v>75</v>
      </c>
      <c r="AE29" t="s">
        <v>69</v>
      </c>
      <c r="AF29">
        <v>174.203</v>
      </c>
      <c r="AG29" t="s">
        <v>69</v>
      </c>
      <c r="AH29" t="s">
        <v>69</v>
      </c>
      <c r="AI29">
        <v>313</v>
      </c>
      <c r="AJ29" t="s">
        <v>157</v>
      </c>
      <c r="AK29" t="s">
        <v>69</v>
      </c>
      <c r="AL29" t="s">
        <v>75</v>
      </c>
      <c r="AM29" t="s">
        <v>69</v>
      </c>
      <c r="AN29">
        <v>155.15600000000001</v>
      </c>
      <c r="AO29" t="s">
        <v>69</v>
      </c>
      <c r="AP29" t="s">
        <v>69</v>
      </c>
      <c r="AQ29">
        <v>315</v>
      </c>
      <c r="AR29" t="s">
        <v>157</v>
      </c>
      <c r="AS29" t="s">
        <v>69</v>
      </c>
      <c r="AT29" t="s">
        <v>75</v>
      </c>
      <c r="AU29" t="s">
        <v>69</v>
      </c>
      <c r="AV29">
        <v>155.15600000000001</v>
      </c>
      <c r="AW29" t="s">
        <v>69</v>
      </c>
      <c r="AX29" t="s">
        <v>69</v>
      </c>
      <c r="AY29">
        <v>338</v>
      </c>
      <c r="AZ29" t="s">
        <v>76</v>
      </c>
      <c r="BA29" t="s">
        <v>69</v>
      </c>
      <c r="BB29" t="s">
        <v>75</v>
      </c>
      <c r="BC29" t="s">
        <v>69</v>
      </c>
      <c r="BD29">
        <v>146.18899999999999</v>
      </c>
      <c r="BE29" t="s">
        <v>69</v>
      </c>
      <c r="BF29" t="s">
        <v>69</v>
      </c>
      <c r="BG29">
        <v>374</v>
      </c>
      <c r="BH29" t="s">
        <v>70</v>
      </c>
      <c r="BI29" t="s">
        <v>69</v>
      </c>
      <c r="BJ29" t="s">
        <v>71</v>
      </c>
      <c r="BK29" t="s">
        <v>69</v>
      </c>
      <c r="BL29">
        <v>75.066999999999993</v>
      </c>
      <c r="BM29" t="s">
        <v>69</v>
      </c>
      <c r="BN29" t="s">
        <v>69</v>
      </c>
      <c r="BO29">
        <v>375</v>
      </c>
      <c r="BP29" t="s">
        <v>119</v>
      </c>
      <c r="BQ29" t="s">
        <v>69</v>
      </c>
      <c r="BR29" t="s">
        <v>120</v>
      </c>
      <c r="BS29" t="s">
        <v>69</v>
      </c>
      <c r="BT29">
        <v>147.131</v>
      </c>
      <c r="BU29" t="s">
        <v>69</v>
      </c>
      <c r="BV29" t="s">
        <v>69</v>
      </c>
      <c r="BW29">
        <v>376</v>
      </c>
      <c r="BX29" t="s">
        <v>155</v>
      </c>
      <c r="BY29" t="s">
        <v>69</v>
      </c>
      <c r="BZ29" t="s">
        <v>150</v>
      </c>
      <c r="CA29" t="s">
        <v>69</v>
      </c>
      <c r="CB29">
        <v>105.093</v>
      </c>
      <c r="CC29" t="s">
        <v>69</v>
      </c>
      <c r="CD29" t="s">
        <v>69</v>
      </c>
      <c r="CE29">
        <v>385</v>
      </c>
      <c r="CF29" t="s">
        <v>76</v>
      </c>
      <c r="CG29" t="s">
        <v>69</v>
      </c>
      <c r="CH29" t="s">
        <v>75</v>
      </c>
      <c r="CI29" t="s">
        <v>69</v>
      </c>
      <c r="CJ29">
        <v>146.18899999999999</v>
      </c>
      <c r="CK29" t="s">
        <v>69</v>
      </c>
      <c r="CL29" t="s">
        <v>69</v>
      </c>
    </row>
    <row r="30" spans="1:90" x14ac:dyDescent="0.25">
      <c r="A30">
        <v>7</v>
      </c>
      <c r="B30" t="str">
        <f>HYPERLINK("http://www.ncbi.nlm.nih.gov/protein/NP_058545.1","NP_058545.1")</f>
        <v>NP_058545.1</v>
      </c>
      <c r="C30">
        <v>337449</v>
      </c>
      <c r="D30" t="str">
        <f>HYPERLINK("http://www.ncbi.nlm.nih.gov/Taxonomy/Browser/wwwtax.cgi?mode=Info&amp;id=10090&amp;lvl=3&amp;lin=f&amp;keep=1&amp;srchmode=1&amp;unlock","10090")</f>
        <v>10090</v>
      </c>
      <c r="E30" t="s">
        <v>66</v>
      </c>
      <c r="F30" t="str">
        <f>HYPERLINK("http://www.ncbi.nlm.nih.gov/Taxonomy/Browser/wwwtax.cgi?mode=Info&amp;id=10090&amp;lvl=3&amp;lin=f&amp;keep=1&amp;srchmode=1&amp;unlock","Mus musculus")</f>
        <v>Mus musculus</v>
      </c>
      <c r="G30" t="s">
        <v>104</v>
      </c>
      <c r="H30" t="str">
        <f>HYPERLINK("http://www.ncbi.nlm.nih.gov/protein/NP_058545.1","interferon regulatory factor 3")</f>
        <v>interferon regulatory factor 3</v>
      </c>
      <c r="I30" t="s">
        <v>260</v>
      </c>
      <c r="J30" t="s">
        <v>153</v>
      </c>
      <c r="K30">
        <v>205</v>
      </c>
      <c r="L30" t="s">
        <v>74</v>
      </c>
      <c r="M30" t="s">
        <v>69</v>
      </c>
      <c r="N30" t="s">
        <v>75</v>
      </c>
      <c r="O30" t="s">
        <v>69</v>
      </c>
      <c r="P30">
        <v>174.203</v>
      </c>
      <c r="Q30" t="s">
        <v>69</v>
      </c>
      <c r="R30" t="s">
        <v>69</v>
      </c>
      <c r="S30">
        <v>256</v>
      </c>
      <c r="T30" t="s">
        <v>147</v>
      </c>
      <c r="U30" t="s">
        <v>153</v>
      </c>
      <c r="V30" t="s">
        <v>148</v>
      </c>
      <c r="W30" t="s">
        <v>153</v>
      </c>
      <c r="X30">
        <v>146.14599999999999</v>
      </c>
      <c r="Y30" t="s">
        <v>69</v>
      </c>
      <c r="Z30" t="s">
        <v>69</v>
      </c>
      <c r="AA30">
        <v>278</v>
      </c>
      <c r="AB30" t="s">
        <v>74</v>
      </c>
      <c r="AC30" t="s">
        <v>69</v>
      </c>
      <c r="AD30" t="s">
        <v>75</v>
      </c>
      <c r="AE30" t="s">
        <v>69</v>
      </c>
      <c r="AF30">
        <v>174.203</v>
      </c>
      <c r="AG30" t="s">
        <v>69</v>
      </c>
      <c r="AH30" t="s">
        <v>69</v>
      </c>
      <c r="AI30">
        <v>281</v>
      </c>
      <c r="AJ30" t="s">
        <v>157</v>
      </c>
      <c r="AK30" t="s">
        <v>69</v>
      </c>
      <c r="AL30" t="s">
        <v>75</v>
      </c>
      <c r="AM30" t="s">
        <v>69</v>
      </c>
      <c r="AN30">
        <v>155.15600000000001</v>
      </c>
      <c r="AO30" t="s">
        <v>69</v>
      </c>
      <c r="AP30" t="s">
        <v>69</v>
      </c>
      <c r="AQ30">
        <v>283</v>
      </c>
      <c r="AR30" t="s">
        <v>157</v>
      </c>
      <c r="AS30" t="s">
        <v>69</v>
      </c>
      <c r="AT30" t="s">
        <v>75</v>
      </c>
      <c r="AU30" t="s">
        <v>69</v>
      </c>
      <c r="AV30">
        <v>155.15600000000001</v>
      </c>
      <c r="AW30" t="s">
        <v>69</v>
      </c>
      <c r="AX30" t="s">
        <v>69</v>
      </c>
      <c r="AY30">
        <v>306</v>
      </c>
      <c r="AZ30" t="s">
        <v>76</v>
      </c>
      <c r="BA30" t="s">
        <v>69</v>
      </c>
      <c r="BB30" t="s">
        <v>75</v>
      </c>
      <c r="BC30" t="s">
        <v>69</v>
      </c>
      <c r="BD30">
        <v>146.18899999999999</v>
      </c>
      <c r="BE30" t="s">
        <v>69</v>
      </c>
      <c r="BF30" t="s">
        <v>69</v>
      </c>
      <c r="BG30">
        <v>342</v>
      </c>
      <c r="BH30" t="s">
        <v>70</v>
      </c>
      <c r="BI30" t="s">
        <v>69</v>
      </c>
      <c r="BJ30" t="s">
        <v>71</v>
      </c>
      <c r="BK30" t="s">
        <v>69</v>
      </c>
      <c r="BL30">
        <v>75.066999999999993</v>
      </c>
      <c r="BM30" t="s">
        <v>69</v>
      </c>
      <c r="BN30" t="s">
        <v>69</v>
      </c>
      <c r="BO30">
        <v>343</v>
      </c>
      <c r="BP30" t="s">
        <v>119</v>
      </c>
      <c r="BQ30" t="s">
        <v>69</v>
      </c>
      <c r="BR30" t="s">
        <v>120</v>
      </c>
      <c r="BS30" t="s">
        <v>69</v>
      </c>
      <c r="BT30">
        <v>147.131</v>
      </c>
      <c r="BU30" t="s">
        <v>69</v>
      </c>
      <c r="BV30" t="s">
        <v>69</v>
      </c>
      <c r="BW30">
        <v>344</v>
      </c>
      <c r="BX30" t="s">
        <v>116</v>
      </c>
      <c r="BY30" t="s">
        <v>153</v>
      </c>
      <c r="BZ30" t="s">
        <v>117</v>
      </c>
      <c r="CA30" t="s">
        <v>153</v>
      </c>
      <c r="CB30">
        <v>149.208</v>
      </c>
      <c r="CC30" t="s">
        <v>153</v>
      </c>
      <c r="CD30" t="s">
        <v>153</v>
      </c>
      <c r="CE30">
        <v>353</v>
      </c>
      <c r="CF30" t="s">
        <v>76</v>
      </c>
      <c r="CG30" t="s">
        <v>69</v>
      </c>
      <c r="CH30" t="s">
        <v>75</v>
      </c>
      <c r="CI30" t="s">
        <v>69</v>
      </c>
      <c r="CJ30">
        <v>146.18899999999999</v>
      </c>
      <c r="CK30" t="s">
        <v>69</v>
      </c>
      <c r="CL30" t="s">
        <v>69</v>
      </c>
    </row>
    <row r="31" spans="1:90" x14ac:dyDescent="0.25">
      <c r="A31">
        <v>7</v>
      </c>
      <c r="B31" t="str">
        <f>HYPERLINK("http://www.ncbi.nlm.nih.gov/protein/XP_025051905.1","XP_025051905.1")</f>
        <v>XP_025051905.1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HYPERLINK("http://www.ncbi.nlm.nih.gov/protein/XP_025051905.1","interferon regulatory factor 3 isoform X1")</f>
        <v>interferon regulatory factor 3 isoform X1</v>
      </c>
      <c r="I31" t="s">
        <v>260</v>
      </c>
      <c r="J31" t="s">
        <v>153</v>
      </c>
      <c r="K31">
        <v>223</v>
      </c>
      <c r="L31" t="s">
        <v>74</v>
      </c>
      <c r="M31" t="s">
        <v>69</v>
      </c>
      <c r="N31" t="s">
        <v>75</v>
      </c>
      <c r="O31" t="s">
        <v>69</v>
      </c>
      <c r="P31">
        <v>174.203</v>
      </c>
      <c r="Q31" t="s">
        <v>69</v>
      </c>
      <c r="R31" t="s">
        <v>69</v>
      </c>
      <c r="S31">
        <v>275</v>
      </c>
      <c r="T31" t="s">
        <v>74</v>
      </c>
      <c r="U31" t="s">
        <v>153</v>
      </c>
      <c r="V31" t="s">
        <v>75</v>
      </c>
      <c r="W31" t="s">
        <v>69</v>
      </c>
      <c r="X31">
        <v>174.203</v>
      </c>
      <c r="Y31" t="s">
        <v>69</v>
      </c>
      <c r="Z31" t="s">
        <v>69</v>
      </c>
      <c r="AA31">
        <v>297</v>
      </c>
      <c r="AB31" t="s">
        <v>74</v>
      </c>
      <c r="AC31" t="s">
        <v>69</v>
      </c>
      <c r="AD31" t="s">
        <v>75</v>
      </c>
      <c r="AE31" t="s">
        <v>69</v>
      </c>
      <c r="AF31">
        <v>174.203</v>
      </c>
      <c r="AG31" t="s">
        <v>69</v>
      </c>
      <c r="AH31" t="s">
        <v>69</v>
      </c>
      <c r="AI31">
        <v>300</v>
      </c>
      <c r="AJ31" t="s">
        <v>74</v>
      </c>
      <c r="AK31" t="s">
        <v>153</v>
      </c>
      <c r="AL31" t="s">
        <v>75</v>
      </c>
      <c r="AM31" t="s">
        <v>69</v>
      </c>
      <c r="AN31">
        <v>174.203</v>
      </c>
      <c r="AO31" t="s">
        <v>69</v>
      </c>
      <c r="AP31" t="s">
        <v>69</v>
      </c>
      <c r="AQ31">
        <v>302</v>
      </c>
      <c r="AR31" t="s">
        <v>157</v>
      </c>
      <c r="AS31" t="s">
        <v>69</v>
      </c>
      <c r="AT31" t="s">
        <v>75</v>
      </c>
      <c r="AU31" t="s">
        <v>69</v>
      </c>
      <c r="AV31">
        <v>155.15600000000001</v>
      </c>
      <c r="AW31" t="s">
        <v>69</v>
      </c>
      <c r="AX31" t="s">
        <v>69</v>
      </c>
      <c r="AY31">
        <v>322</v>
      </c>
      <c r="AZ31" t="s">
        <v>76</v>
      </c>
      <c r="BA31" t="s">
        <v>69</v>
      </c>
      <c r="BB31" t="s">
        <v>75</v>
      </c>
      <c r="BC31" t="s">
        <v>69</v>
      </c>
      <c r="BD31">
        <v>146.18899999999999</v>
      </c>
      <c r="BE31" t="s">
        <v>69</v>
      </c>
      <c r="BF31" t="s">
        <v>69</v>
      </c>
      <c r="BG31">
        <v>358</v>
      </c>
      <c r="BH31" t="s">
        <v>70</v>
      </c>
      <c r="BI31" t="s">
        <v>69</v>
      </c>
      <c r="BJ31" t="s">
        <v>71</v>
      </c>
      <c r="BK31" t="s">
        <v>69</v>
      </c>
      <c r="BL31">
        <v>75.066999999999993</v>
      </c>
      <c r="BM31" t="s">
        <v>69</v>
      </c>
      <c r="BN31" t="s">
        <v>69</v>
      </c>
      <c r="BO31">
        <v>359</v>
      </c>
      <c r="BP31" t="s">
        <v>119</v>
      </c>
      <c r="BQ31" t="s">
        <v>69</v>
      </c>
      <c r="BR31" t="s">
        <v>120</v>
      </c>
      <c r="BS31" t="s">
        <v>69</v>
      </c>
      <c r="BT31">
        <v>147.131</v>
      </c>
      <c r="BU31" t="s">
        <v>69</v>
      </c>
      <c r="BV31" t="s">
        <v>69</v>
      </c>
      <c r="BW31">
        <v>360</v>
      </c>
      <c r="BX31" t="s">
        <v>76</v>
      </c>
      <c r="BY31" t="s">
        <v>153</v>
      </c>
      <c r="BZ31" t="s">
        <v>75</v>
      </c>
      <c r="CA31" t="s">
        <v>153</v>
      </c>
      <c r="CB31">
        <v>146.18899999999999</v>
      </c>
      <c r="CC31" t="s">
        <v>153</v>
      </c>
      <c r="CD31" t="s">
        <v>153</v>
      </c>
      <c r="CE31">
        <v>370</v>
      </c>
      <c r="CF31" t="s">
        <v>74</v>
      </c>
      <c r="CG31" t="s">
        <v>153</v>
      </c>
      <c r="CH31" t="s">
        <v>75</v>
      </c>
      <c r="CI31" t="s">
        <v>69</v>
      </c>
      <c r="CJ31">
        <v>174.203</v>
      </c>
      <c r="CK31" t="s">
        <v>69</v>
      </c>
      <c r="CL31" t="s">
        <v>69</v>
      </c>
    </row>
    <row r="32" spans="1:90" x14ac:dyDescent="0.25">
      <c r="A32">
        <v>7</v>
      </c>
      <c r="B32" t="str">
        <f>HYPERLINK("http://www.ncbi.nlm.nih.gov/protein/QYW22359.1","QYW22359.1")</f>
        <v>QYW22359.1</v>
      </c>
      <c r="C32">
        <v>146185</v>
      </c>
      <c r="D32" t="str">
        <f>HYPERLINK("http://www.ncbi.nlm.nih.gov/Taxonomy/Browser/wwwtax.cgi?mode=Info&amp;id=8355&amp;lvl=3&amp;lin=f&amp;keep=1&amp;srchmode=1&amp;unlock","8355")</f>
        <v>8355</v>
      </c>
      <c r="E32" t="s">
        <v>111</v>
      </c>
      <c r="F32" t="str">
        <f>HYPERLINK("http://www.ncbi.nlm.nih.gov/Taxonomy/Browser/wwwtax.cgi?mode=Info&amp;id=8355&amp;lvl=3&amp;lin=f&amp;keep=1&amp;srchmode=1&amp;unlock","Xenopus laevis")</f>
        <v>Xenopus laevis</v>
      </c>
      <c r="G32" t="s">
        <v>112</v>
      </c>
      <c r="H32" t="str">
        <f>HYPERLINK("http://www.ncbi.nlm.nih.gov/protein/QYW22359.1","interferon regulatory factor 3")</f>
        <v>interferon regulatory factor 3</v>
      </c>
      <c r="I32" t="s">
        <v>260</v>
      </c>
      <c r="J32" t="s">
        <v>69</v>
      </c>
      <c r="K32">
        <v>261</v>
      </c>
      <c r="L32" t="s">
        <v>74</v>
      </c>
      <c r="M32" t="s">
        <v>69</v>
      </c>
      <c r="N32" t="s">
        <v>75</v>
      </c>
      <c r="O32" t="s">
        <v>69</v>
      </c>
      <c r="P32">
        <v>174.203</v>
      </c>
      <c r="Q32" t="s">
        <v>69</v>
      </c>
      <c r="R32" t="s">
        <v>69</v>
      </c>
      <c r="S32">
        <v>312</v>
      </c>
      <c r="T32" t="s">
        <v>76</v>
      </c>
      <c r="U32" t="s">
        <v>153</v>
      </c>
      <c r="V32" t="s">
        <v>75</v>
      </c>
      <c r="W32" t="s">
        <v>69</v>
      </c>
      <c r="X32">
        <v>146.18899999999999</v>
      </c>
      <c r="Y32" t="s">
        <v>69</v>
      </c>
      <c r="Z32" t="s">
        <v>69</v>
      </c>
      <c r="AA32">
        <v>334</v>
      </c>
      <c r="AB32" t="s">
        <v>74</v>
      </c>
      <c r="AC32" t="s">
        <v>69</v>
      </c>
      <c r="AD32" t="s">
        <v>75</v>
      </c>
      <c r="AE32" t="s">
        <v>69</v>
      </c>
      <c r="AF32">
        <v>174.203</v>
      </c>
      <c r="AG32" t="s">
        <v>69</v>
      </c>
      <c r="AH32" t="s">
        <v>69</v>
      </c>
      <c r="AI32">
        <v>337</v>
      </c>
      <c r="AJ32" t="s">
        <v>76</v>
      </c>
      <c r="AK32" t="s">
        <v>153</v>
      </c>
      <c r="AL32" t="s">
        <v>75</v>
      </c>
      <c r="AM32" t="s">
        <v>69</v>
      </c>
      <c r="AN32">
        <v>146.18899999999999</v>
      </c>
      <c r="AO32" t="s">
        <v>69</v>
      </c>
      <c r="AP32" t="s">
        <v>69</v>
      </c>
      <c r="AQ32">
        <v>339</v>
      </c>
      <c r="AR32" t="s">
        <v>74</v>
      </c>
      <c r="AS32" t="s">
        <v>153</v>
      </c>
      <c r="AT32" t="s">
        <v>75</v>
      </c>
      <c r="AU32" t="s">
        <v>69</v>
      </c>
      <c r="AV32">
        <v>174.203</v>
      </c>
      <c r="AW32" t="s">
        <v>69</v>
      </c>
      <c r="AX32" t="s">
        <v>69</v>
      </c>
      <c r="AY32">
        <v>358</v>
      </c>
      <c r="AZ32" t="s">
        <v>76</v>
      </c>
      <c r="BA32" t="s">
        <v>69</v>
      </c>
      <c r="BB32" t="s">
        <v>75</v>
      </c>
      <c r="BC32" t="s">
        <v>69</v>
      </c>
      <c r="BD32">
        <v>146.18899999999999</v>
      </c>
      <c r="BE32" t="s">
        <v>69</v>
      </c>
      <c r="BF32" t="s">
        <v>69</v>
      </c>
      <c r="BG32">
        <v>395</v>
      </c>
      <c r="BH32" t="s">
        <v>70</v>
      </c>
      <c r="BI32" t="s">
        <v>69</v>
      </c>
      <c r="BJ32" t="s">
        <v>71</v>
      </c>
      <c r="BK32" t="s">
        <v>69</v>
      </c>
      <c r="BL32">
        <v>75.066999999999993</v>
      </c>
      <c r="BM32" t="s">
        <v>69</v>
      </c>
      <c r="BN32" t="s">
        <v>69</v>
      </c>
      <c r="BO32">
        <v>396</v>
      </c>
      <c r="BP32" t="s">
        <v>119</v>
      </c>
      <c r="BQ32" t="s">
        <v>69</v>
      </c>
      <c r="BR32" t="s">
        <v>120</v>
      </c>
      <c r="BS32" t="s">
        <v>69</v>
      </c>
      <c r="BT32">
        <v>147.131</v>
      </c>
      <c r="BU32" t="s">
        <v>69</v>
      </c>
      <c r="BV32" t="s">
        <v>69</v>
      </c>
      <c r="BW32">
        <v>397</v>
      </c>
      <c r="BX32" t="s">
        <v>72</v>
      </c>
      <c r="BY32" t="s">
        <v>153</v>
      </c>
      <c r="BZ32" t="s">
        <v>71</v>
      </c>
      <c r="CA32" t="s">
        <v>153</v>
      </c>
      <c r="CB32">
        <v>131.17500000000001</v>
      </c>
      <c r="CC32" t="s">
        <v>69</v>
      </c>
      <c r="CD32" t="s">
        <v>69</v>
      </c>
      <c r="CE32">
        <v>406</v>
      </c>
      <c r="CF32" t="s">
        <v>76</v>
      </c>
      <c r="CG32" t="s">
        <v>69</v>
      </c>
      <c r="CH32" t="s">
        <v>75</v>
      </c>
      <c r="CI32" t="s">
        <v>69</v>
      </c>
      <c r="CJ32">
        <v>146.18899999999999</v>
      </c>
      <c r="CK32" t="s">
        <v>69</v>
      </c>
      <c r="CL32" t="s">
        <v>69</v>
      </c>
    </row>
    <row r="33" spans="1:90" x14ac:dyDescent="0.25">
      <c r="A33">
        <v>7</v>
      </c>
      <c r="B33" t="str">
        <f>HYPERLINK("http://www.ncbi.nlm.nih.gov/protein/XP_039519056.1","XP_039519056.1")</f>
        <v>XP_039519056.1</v>
      </c>
      <c r="C33">
        <v>96114</v>
      </c>
      <c r="D33" t="str">
        <f>HYPERLINK("http://www.ncbi.nlm.nih.gov/Taxonomy/Browser/wwwtax.cgi?mode=Info&amp;id=90988&amp;lvl=3&amp;lin=f&amp;keep=1&amp;srchmode=1&amp;unlock","90988")</f>
        <v>90988</v>
      </c>
      <c r="E33" t="s">
        <v>113</v>
      </c>
      <c r="F33" t="str">
        <f>HYPERLINK("http://www.ncbi.nlm.nih.gov/Taxonomy/Browser/wwwtax.cgi?mode=Info&amp;id=90988&amp;lvl=3&amp;lin=f&amp;keep=1&amp;srchmode=1&amp;unlock","Pimephales promelas")</f>
        <v>Pimephales promelas</v>
      </c>
      <c r="G33" t="s">
        <v>114</v>
      </c>
      <c r="H33" t="str">
        <f>HYPERLINK("http://www.ncbi.nlm.nih.gov/protein/XP_039519056.1","interferon regulatory factor 7 isoform X1")</f>
        <v>interferon regulatory factor 7 isoform X1</v>
      </c>
      <c r="I33" t="s">
        <v>260</v>
      </c>
      <c r="J33" t="s">
        <v>153</v>
      </c>
      <c r="K33">
        <v>225</v>
      </c>
      <c r="L33" t="s">
        <v>74</v>
      </c>
      <c r="M33" t="s">
        <v>69</v>
      </c>
      <c r="N33" t="s">
        <v>75</v>
      </c>
      <c r="O33" t="s">
        <v>69</v>
      </c>
      <c r="P33">
        <v>174.203</v>
      </c>
      <c r="Q33" t="s">
        <v>69</v>
      </c>
      <c r="R33" t="s">
        <v>69</v>
      </c>
      <c r="S33">
        <v>274</v>
      </c>
      <c r="T33" t="s">
        <v>74</v>
      </c>
      <c r="U33" t="s">
        <v>153</v>
      </c>
      <c r="V33" t="s">
        <v>75</v>
      </c>
      <c r="W33" t="s">
        <v>69</v>
      </c>
      <c r="X33">
        <v>174.203</v>
      </c>
      <c r="Y33" t="s">
        <v>69</v>
      </c>
      <c r="Z33" t="s">
        <v>69</v>
      </c>
      <c r="AA33">
        <v>296</v>
      </c>
      <c r="AB33" t="s">
        <v>74</v>
      </c>
      <c r="AC33" t="s">
        <v>69</v>
      </c>
      <c r="AD33" t="s">
        <v>75</v>
      </c>
      <c r="AE33" t="s">
        <v>69</v>
      </c>
      <c r="AF33">
        <v>174.203</v>
      </c>
      <c r="AG33" t="s">
        <v>69</v>
      </c>
      <c r="AH33" t="s">
        <v>69</v>
      </c>
      <c r="AI33">
        <v>299</v>
      </c>
      <c r="AJ33" t="s">
        <v>76</v>
      </c>
      <c r="AK33" t="s">
        <v>153</v>
      </c>
      <c r="AL33" t="s">
        <v>75</v>
      </c>
      <c r="AM33" t="s">
        <v>69</v>
      </c>
      <c r="AN33">
        <v>146.18899999999999</v>
      </c>
      <c r="AO33" t="s">
        <v>69</v>
      </c>
      <c r="AP33" t="s">
        <v>69</v>
      </c>
      <c r="AQ33">
        <v>301</v>
      </c>
      <c r="AR33" t="s">
        <v>76</v>
      </c>
      <c r="AS33" t="s">
        <v>153</v>
      </c>
      <c r="AT33" t="s">
        <v>75</v>
      </c>
      <c r="AU33" t="s">
        <v>69</v>
      </c>
      <c r="AV33">
        <v>146.18899999999999</v>
      </c>
      <c r="AW33" t="s">
        <v>69</v>
      </c>
      <c r="AX33" t="s">
        <v>69</v>
      </c>
      <c r="AY33">
        <v>322</v>
      </c>
      <c r="AZ33" t="s">
        <v>147</v>
      </c>
      <c r="BA33" t="s">
        <v>153</v>
      </c>
      <c r="BB33" t="s">
        <v>148</v>
      </c>
      <c r="BC33" t="s">
        <v>153</v>
      </c>
      <c r="BD33">
        <v>146.14599999999999</v>
      </c>
      <c r="BE33" t="s">
        <v>69</v>
      </c>
      <c r="BF33" t="s">
        <v>69</v>
      </c>
      <c r="BG33">
        <v>358</v>
      </c>
      <c r="BH33" t="s">
        <v>70</v>
      </c>
      <c r="BI33" t="s">
        <v>69</v>
      </c>
      <c r="BJ33" t="s">
        <v>71</v>
      </c>
      <c r="BK33" t="s">
        <v>69</v>
      </c>
      <c r="BL33">
        <v>75.066999999999993</v>
      </c>
      <c r="BM33" t="s">
        <v>69</v>
      </c>
      <c r="BN33" t="s">
        <v>69</v>
      </c>
      <c r="BO33">
        <v>359</v>
      </c>
      <c r="BP33" t="s">
        <v>119</v>
      </c>
      <c r="BQ33" t="s">
        <v>69</v>
      </c>
      <c r="BR33" t="s">
        <v>120</v>
      </c>
      <c r="BS33" t="s">
        <v>69</v>
      </c>
      <c r="BT33">
        <v>147.131</v>
      </c>
      <c r="BU33" t="s">
        <v>69</v>
      </c>
      <c r="BV33" t="s">
        <v>69</v>
      </c>
      <c r="BW33">
        <v>360</v>
      </c>
      <c r="BX33" t="s">
        <v>76</v>
      </c>
      <c r="BY33" t="s">
        <v>153</v>
      </c>
      <c r="BZ33" t="s">
        <v>75</v>
      </c>
      <c r="CA33" t="s">
        <v>153</v>
      </c>
      <c r="CB33">
        <v>146.18899999999999</v>
      </c>
      <c r="CC33" t="s">
        <v>153</v>
      </c>
      <c r="CD33" t="s">
        <v>153</v>
      </c>
      <c r="CE33">
        <v>369</v>
      </c>
      <c r="CF33" t="s">
        <v>76</v>
      </c>
      <c r="CG33" t="s">
        <v>69</v>
      </c>
      <c r="CH33" t="s">
        <v>75</v>
      </c>
      <c r="CI33" t="s">
        <v>69</v>
      </c>
      <c r="CJ33">
        <v>146.18899999999999</v>
      </c>
      <c r="CK33" t="s">
        <v>69</v>
      </c>
      <c r="CL33" t="s">
        <v>69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3"/>
  <sheetViews>
    <sheetView workbookViewId="0"/>
  </sheetViews>
  <sheetFormatPr defaultRowHeight="15" x14ac:dyDescent="0.25"/>
  <cols>
    <col min="8" max="8" width="41.42578125" customWidth="1"/>
  </cols>
  <sheetData>
    <row r="1" spans="1:5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row>
    <row r="2" spans="1:58" x14ac:dyDescent="0.25">
      <c r="A2">
        <v>7</v>
      </c>
      <c r="B2" t="str">
        <f>HYPERLINK("http://www.ncbi.nlm.nih.gov/protein/NP_001562.1","NP_001562.1")</f>
        <v>NP_001562.1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HYPERLINK("http://www.ncbi.nlm.nih.gov/protein/NP_001562.1","interferon regulatory factor 3 isoform 1")</f>
        <v>interferon regulatory factor 3 isoform 1</v>
      </c>
      <c r="I2" t="s">
        <v>260</v>
      </c>
      <c r="J2" t="s">
        <v>69</v>
      </c>
      <c r="K2">
        <v>260</v>
      </c>
      <c r="L2" t="s">
        <v>69</v>
      </c>
      <c r="M2" t="s">
        <v>69</v>
      </c>
      <c r="N2" t="s">
        <v>152</v>
      </c>
      <c r="O2" t="s">
        <v>69</v>
      </c>
      <c r="P2">
        <v>181.191</v>
      </c>
      <c r="Q2" t="s">
        <v>69</v>
      </c>
      <c r="R2" t="s">
        <v>69</v>
      </c>
      <c r="S2">
        <v>264</v>
      </c>
      <c r="T2" t="s">
        <v>115</v>
      </c>
      <c r="U2" t="s">
        <v>69</v>
      </c>
      <c r="V2" t="s">
        <v>71</v>
      </c>
      <c r="W2" t="s">
        <v>69</v>
      </c>
      <c r="X2">
        <v>117.148</v>
      </c>
      <c r="Y2" t="s">
        <v>69</v>
      </c>
      <c r="Z2" t="s">
        <v>69</v>
      </c>
      <c r="AA2">
        <v>287</v>
      </c>
      <c r="AB2" t="s">
        <v>70</v>
      </c>
      <c r="AC2" t="s">
        <v>69</v>
      </c>
      <c r="AD2" t="s">
        <v>71</v>
      </c>
      <c r="AE2" t="s">
        <v>69</v>
      </c>
      <c r="AF2">
        <v>75.066999999999993</v>
      </c>
      <c r="AG2" t="s">
        <v>69</v>
      </c>
      <c r="AH2" t="s">
        <v>69</v>
      </c>
      <c r="AI2">
        <v>289</v>
      </c>
      <c r="AJ2" t="s">
        <v>249</v>
      </c>
      <c r="AK2" t="s">
        <v>69</v>
      </c>
      <c r="AL2" t="s">
        <v>117</v>
      </c>
      <c r="AM2" t="s">
        <v>69</v>
      </c>
      <c r="AN2">
        <v>121.154</v>
      </c>
      <c r="AO2" t="s">
        <v>69</v>
      </c>
      <c r="AP2" t="s">
        <v>69</v>
      </c>
      <c r="AQ2">
        <v>292</v>
      </c>
      <c r="AR2" t="s">
        <v>69</v>
      </c>
      <c r="AS2" t="s">
        <v>69</v>
      </c>
      <c r="AT2" t="s">
        <v>152</v>
      </c>
      <c r="AU2" t="s">
        <v>69</v>
      </c>
      <c r="AV2">
        <v>181.191</v>
      </c>
      <c r="AW2" t="s">
        <v>69</v>
      </c>
      <c r="AX2" t="s">
        <v>69</v>
      </c>
      <c r="AY2">
        <v>362</v>
      </c>
      <c r="AZ2" t="s">
        <v>72</v>
      </c>
      <c r="BA2" t="s">
        <v>69</v>
      </c>
      <c r="BB2" t="s">
        <v>71</v>
      </c>
      <c r="BC2" t="s">
        <v>69</v>
      </c>
      <c r="BD2">
        <v>131.17500000000001</v>
      </c>
      <c r="BE2" t="s">
        <v>69</v>
      </c>
      <c r="BF2" t="s">
        <v>69</v>
      </c>
    </row>
    <row r="3" spans="1:58" x14ac:dyDescent="0.25">
      <c r="A3">
        <v>7</v>
      </c>
      <c r="B3" t="str">
        <f>HYPERLINK("http://www.ncbi.nlm.nih.gov/protein/XP_018870991.1","XP_018870991.1")</f>
        <v>XP_018870991.1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HYPERLINK("http://www.ncbi.nlm.nih.gov/protein/XP_018870991.1","interferon regulatory factor 3 isoform X4")</f>
        <v>interferon regulatory factor 3 isoform X4</v>
      </c>
      <c r="I3" t="s">
        <v>260</v>
      </c>
      <c r="J3" t="s">
        <v>69</v>
      </c>
      <c r="K3">
        <v>260</v>
      </c>
      <c r="L3" t="s">
        <v>69</v>
      </c>
      <c r="M3" t="s">
        <v>69</v>
      </c>
      <c r="N3" t="s">
        <v>152</v>
      </c>
      <c r="O3" t="s">
        <v>69</v>
      </c>
      <c r="P3">
        <v>181.191</v>
      </c>
      <c r="Q3" t="s">
        <v>69</v>
      </c>
      <c r="R3" t="s">
        <v>69</v>
      </c>
      <c r="S3">
        <v>264</v>
      </c>
      <c r="T3" t="s">
        <v>115</v>
      </c>
      <c r="U3" t="s">
        <v>69</v>
      </c>
      <c r="V3" t="s">
        <v>71</v>
      </c>
      <c r="W3" t="s">
        <v>69</v>
      </c>
      <c r="X3">
        <v>117.148</v>
      </c>
      <c r="Y3" t="s">
        <v>69</v>
      </c>
      <c r="Z3" t="s">
        <v>69</v>
      </c>
      <c r="AA3">
        <v>287</v>
      </c>
      <c r="AB3" t="s">
        <v>70</v>
      </c>
      <c r="AC3" t="s">
        <v>69</v>
      </c>
      <c r="AD3" t="s">
        <v>71</v>
      </c>
      <c r="AE3" t="s">
        <v>69</v>
      </c>
      <c r="AF3">
        <v>75.066999999999993</v>
      </c>
      <c r="AG3" t="s">
        <v>69</v>
      </c>
      <c r="AH3" t="s">
        <v>69</v>
      </c>
      <c r="AI3">
        <v>289</v>
      </c>
      <c r="AJ3" t="s">
        <v>249</v>
      </c>
      <c r="AK3" t="s">
        <v>69</v>
      </c>
      <c r="AL3" t="s">
        <v>117</v>
      </c>
      <c r="AM3" t="s">
        <v>69</v>
      </c>
      <c r="AN3">
        <v>121.154</v>
      </c>
      <c r="AO3" t="s">
        <v>69</v>
      </c>
      <c r="AP3" t="s">
        <v>69</v>
      </c>
      <c r="AQ3">
        <v>292</v>
      </c>
      <c r="AR3" t="s">
        <v>69</v>
      </c>
      <c r="AS3" t="s">
        <v>69</v>
      </c>
      <c r="AT3" t="s">
        <v>152</v>
      </c>
      <c r="AU3" t="s">
        <v>69</v>
      </c>
      <c r="AV3">
        <v>181.191</v>
      </c>
      <c r="AW3" t="s">
        <v>69</v>
      </c>
      <c r="AX3" t="s">
        <v>69</v>
      </c>
      <c r="AY3">
        <v>362</v>
      </c>
      <c r="AZ3" t="s">
        <v>72</v>
      </c>
      <c r="BA3" t="s">
        <v>69</v>
      </c>
      <c r="BB3" t="s">
        <v>71</v>
      </c>
      <c r="BC3" t="s">
        <v>69</v>
      </c>
      <c r="BD3">
        <v>131.17500000000001</v>
      </c>
      <c r="BE3" t="s">
        <v>69</v>
      </c>
      <c r="BF3" t="s">
        <v>69</v>
      </c>
    </row>
    <row r="4" spans="1:58" x14ac:dyDescent="0.25">
      <c r="A4">
        <v>7</v>
      </c>
      <c r="B4" t="str">
        <f>HYPERLINK("http://www.ncbi.nlm.nih.gov/protein/XP_007995777.1","XP_007995777.1")</f>
        <v>XP_007995777.1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HYPERLINK("http://www.ncbi.nlm.nih.gov/protein/XP_007995777.1","interferon regulatory factor 3 isoform X3")</f>
        <v>interferon regulatory factor 3 isoform X3</v>
      </c>
      <c r="I4" t="s">
        <v>260</v>
      </c>
      <c r="J4" t="s">
        <v>69</v>
      </c>
      <c r="K4">
        <v>256</v>
      </c>
      <c r="L4" t="s">
        <v>69</v>
      </c>
      <c r="M4" t="s">
        <v>69</v>
      </c>
      <c r="N4" t="s">
        <v>152</v>
      </c>
      <c r="O4" t="s">
        <v>69</v>
      </c>
      <c r="P4">
        <v>181.191</v>
      </c>
      <c r="Q4" t="s">
        <v>69</v>
      </c>
      <c r="R4" t="s">
        <v>69</v>
      </c>
      <c r="S4">
        <v>260</v>
      </c>
      <c r="T4" t="s">
        <v>115</v>
      </c>
      <c r="U4" t="s">
        <v>69</v>
      </c>
      <c r="V4" t="s">
        <v>71</v>
      </c>
      <c r="W4" t="s">
        <v>69</v>
      </c>
      <c r="X4">
        <v>117.148</v>
      </c>
      <c r="Y4" t="s">
        <v>69</v>
      </c>
      <c r="Z4" t="s">
        <v>69</v>
      </c>
      <c r="AA4">
        <v>283</v>
      </c>
      <c r="AB4" t="s">
        <v>70</v>
      </c>
      <c r="AC4" t="s">
        <v>69</v>
      </c>
      <c r="AD4" t="s">
        <v>71</v>
      </c>
      <c r="AE4" t="s">
        <v>69</v>
      </c>
      <c r="AF4">
        <v>75.066999999999993</v>
      </c>
      <c r="AG4" t="s">
        <v>69</v>
      </c>
      <c r="AH4" t="s">
        <v>69</v>
      </c>
      <c r="AI4">
        <v>285</v>
      </c>
      <c r="AJ4" t="s">
        <v>249</v>
      </c>
      <c r="AK4" t="s">
        <v>69</v>
      </c>
      <c r="AL4" t="s">
        <v>117</v>
      </c>
      <c r="AM4" t="s">
        <v>69</v>
      </c>
      <c r="AN4">
        <v>121.154</v>
      </c>
      <c r="AO4" t="s">
        <v>69</v>
      </c>
      <c r="AP4" t="s">
        <v>69</v>
      </c>
      <c r="AQ4">
        <v>288</v>
      </c>
      <c r="AR4" t="s">
        <v>69</v>
      </c>
      <c r="AS4" t="s">
        <v>69</v>
      </c>
      <c r="AT4" t="s">
        <v>152</v>
      </c>
      <c r="AU4" t="s">
        <v>69</v>
      </c>
      <c r="AV4">
        <v>181.191</v>
      </c>
      <c r="AW4" t="s">
        <v>69</v>
      </c>
      <c r="AX4" t="s">
        <v>69</v>
      </c>
      <c r="AY4">
        <v>357</v>
      </c>
      <c r="AZ4" t="s">
        <v>72</v>
      </c>
      <c r="BA4" t="s">
        <v>69</v>
      </c>
      <c r="BB4" t="s">
        <v>71</v>
      </c>
      <c r="BC4" t="s">
        <v>69</v>
      </c>
      <c r="BD4">
        <v>131.17500000000001</v>
      </c>
      <c r="BE4" t="s">
        <v>69</v>
      </c>
      <c r="BF4" t="s">
        <v>69</v>
      </c>
    </row>
    <row r="5" spans="1:58" x14ac:dyDescent="0.25">
      <c r="A5">
        <v>7</v>
      </c>
      <c r="B5" t="str">
        <f>HYPERLINK("http://www.ncbi.nlm.nih.gov/protein/XP_009193256.1","XP_009193256.1")</f>
        <v>XP_009193256.1</v>
      </c>
      <c r="C5">
        <v>73529</v>
      </c>
      <c r="D5" t="str">
        <f>HYPERLINK("http://www.ncbi.nlm.nih.gov/Taxonomy/Browser/wwwtax.cgi?mode=Info&amp;id=9555&amp;lvl=3&amp;lin=f&amp;keep=1&amp;srchmode=1&amp;unlock","9555")</f>
        <v>9555</v>
      </c>
      <c r="E5" t="s">
        <v>66</v>
      </c>
      <c r="F5" t="str">
        <f>HYPERLINK("http://www.ncbi.nlm.nih.gov/Taxonomy/Browser/wwwtax.cgi?mode=Info&amp;id=9555&amp;lvl=3&amp;lin=f&amp;keep=1&amp;srchmode=1&amp;unlock","Papio anubis")</f>
        <v>Papio anubis</v>
      </c>
      <c r="G5" t="s">
        <v>80</v>
      </c>
      <c r="H5" t="str">
        <f>HYPERLINK("http://www.ncbi.nlm.nih.gov/protein/XP_009193256.1","interferon regulatory factor 3 isoform X2")</f>
        <v>interferon regulatory factor 3 isoform X2</v>
      </c>
      <c r="I5" t="s">
        <v>260</v>
      </c>
      <c r="J5" t="s">
        <v>69</v>
      </c>
      <c r="K5">
        <v>256</v>
      </c>
      <c r="L5" t="s">
        <v>69</v>
      </c>
      <c r="M5" t="s">
        <v>69</v>
      </c>
      <c r="N5" t="s">
        <v>152</v>
      </c>
      <c r="O5" t="s">
        <v>69</v>
      </c>
      <c r="P5">
        <v>181.191</v>
      </c>
      <c r="Q5" t="s">
        <v>69</v>
      </c>
      <c r="R5" t="s">
        <v>69</v>
      </c>
      <c r="S5">
        <v>260</v>
      </c>
      <c r="T5" t="s">
        <v>115</v>
      </c>
      <c r="U5" t="s">
        <v>69</v>
      </c>
      <c r="V5" t="s">
        <v>71</v>
      </c>
      <c r="W5" t="s">
        <v>69</v>
      </c>
      <c r="X5">
        <v>117.148</v>
      </c>
      <c r="Y5" t="s">
        <v>69</v>
      </c>
      <c r="Z5" t="s">
        <v>69</v>
      </c>
      <c r="AA5">
        <v>283</v>
      </c>
      <c r="AB5" t="s">
        <v>70</v>
      </c>
      <c r="AC5" t="s">
        <v>69</v>
      </c>
      <c r="AD5" t="s">
        <v>71</v>
      </c>
      <c r="AE5" t="s">
        <v>69</v>
      </c>
      <c r="AF5">
        <v>75.066999999999993</v>
      </c>
      <c r="AG5" t="s">
        <v>69</v>
      </c>
      <c r="AH5" t="s">
        <v>69</v>
      </c>
      <c r="AI5">
        <v>285</v>
      </c>
      <c r="AJ5" t="s">
        <v>249</v>
      </c>
      <c r="AK5" t="s">
        <v>69</v>
      </c>
      <c r="AL5" t="s">
        <v>117</v>
      </c>
      <c r="AM5" t="s">
        <v>69</v>
      </c>
      <c r="AN5">
        <v>121.154</v>
      </c>
      <c r="AO5" t="s">
        <v>69</v>
      </c>
      <c r="AP5" t="s">
        <v>69</v>
      </c>
      <c r="AQ5">
        <v>288</v>
      </c>
      <c r="AR5" t="s">
        <v>69</v>
      </c>
      <c r="AS5" t="s">
        <v>69</v>
      </c>
      <c r="AT5" t="s">
        <v>152</v>
      </c>
      <c r="AU5" t="s">
        <v>69</v>
      </c>
      <c r="AV5">
        <v>181.191</v>
      </c>
      <c r="AW5" t="s">
        <v>69</v>
      </c>
      <c r="AX5" t="s">
        <v>69</v>
      </c>
      <c r="AY5">
        <v>357</v>
      </c>
      <c r="AZ5" t="s">
        <v>72</v>
      </c>
      <c r="BA5" t="s">
        <v>69</v>
      </c>
      <c r="BB5" t="s">
        <v>71</v>
      </c>
      <c r="BC5" t="s">
        <v>69</v>
      </c>
      <c r="BD5">
        <v>131.17500000000001</v>
      </c>
      <c r="BE5" t="s">
        <v>69</v>
      </c>
      <c r="BF5" t="s">
        <v>69</v>
      </c>
    </row>
    <row r="6" spans="1:58" x14ac:dyDescent="0.25">
      <c r="A6">
        <v>7</v>
      </c>
      <c r="B6" t="str">
        <f>HYPERLINK("http://www.ncbi.nlm.nih.gov/protein/NP_001129269.1","NP_001129269.1")</f>
        <v>NP_001129269.1</v>
      </c>
      <c r="C6">
        <v>178339</v>
      </c>
      <c r="D6" t="str">
        <f>HYPERLINK("http://www.ncbi.nlm.nih.gov/Taxonomy/Browser/wwwtax.cgi?mode=Info&amp;id=9544&amp;lvl=3&amp;lin=f&amp;keep=1&amp;srchmode=1&amp;unlock","9544")</f>
        <v>9544</v>
      </c>
      <c r="E6" t="s">
        <v>66</v>
      </c>
      <c r="F6" t="str">
        <f>HYPERLINK("http://www.ncbi.nlm.nih.gov/Taxonomy/Browser/wwwtax.cgi?mode=Info&amp;id=9544&amp;lvl=3&amp;lin=f&amp;keep=1&amp;srchmode=1&amp;unlock","Macaca mulatta")</f>
        <v>Macaca mulatta</v>
      </c>
      <c r="G6" t="s">
        <v>77</v>
      </c>
      <c r="H6" t="str">
        <f>HYPERLINK("http://www.ncbi.nlm.nih.gov/protein/NP_001129269.1","interferon regulatory factor 3")</f>
        <v>interferon regulatory factor 3</v>
      </c>
      <c r="I6" t="s">
        <v>260</v>
      </c>
      <c r="J6" t="s">
        <v>69</v>
      </c>
      <c r="K6">
        <v>256</v>
      </c>
      <c r="L6" t="s">
        <v>69</v>
      </c>
      <c r="M6" t="s">
        <v>69</v>
      </c>
      <c r="N6" t="s">
        <v>152</v>
      </c>
      <c r="O6" t="s">
        <v>69</v>
      </c>
      <c r="P6">
        <v>181.191</v>
      </c>
      <c r="Q6" t="s">
        <v>69</v>
      </c>
      <c r="R6" t="s">
        <v>69</v>
      </c>
      <c r="S6">
        <v>260</v>
      </c>
      <c r="T6" t="s">
        <v>115</v>
      </c>
      <c r="U6" t="s">
        <v>69</v>
      </c>
      <c r="V6" t="s">
        <v>71</v>
      </c>
      <c r="W6" t="s">
        <v>69</v>
      </c>
      <c r="X6">
        <v>117.148</v>
      </c>
      <c r="Y6" t="s">
        <v>69</v>
      </c>
      <c r="Z6" t="s">
        <v>69</v>
      </c>
      <c r="AA6">
        <v>283</v>
      </c>
      <c r="AB6" t="s">
        <v>70</v>
      </c>
      <c r="AC6" t="s">
        <v>69</v>
      </c>
      <c r="AD6" t="s">
        <v>71</v>
      </c>
      <c r="AE6" t="s">
        <v>69</v>
      </c>
      <c r="AF6">
        <v>75.066999999999993</v>
      </c>
      <c r="AG6" t="s">
        <v>69</v>
      </c>
      <c r="AH6" t="s">
        <v>69</v>
      </c>
      <c r="AI6">
        <v>285</v>
      </c>
      <c r="AJ6" t="s">
        <v>249</v>
      </c>
      <c r="AK6" t="s">
        <v>69</v>
      </c>
      <c r="AL6" t="s">
        <v>117</v>
      </c>
      <c r="AM6" t="s">
        <v>69</v>
      </c>
      <c r="AN6">
        <v>121.154</v>
      </c>
      <c r="AO6" t="s">
        <v>69</v>
      </c>
      <c r="AP6" t="s">
        <v>69</v>
      </c>
      <c r="AQ6">
        <v>288</v>
      </c>
      <c r="AR6" t="s">
        <v>69</v>
      </c>
      <c r="AS6" t="s">
        <v>69</v>
      </c>
      <c r="AT6" t="s">
        <v>152</v>
      </c>
      <c r="AU6" t="s">
        <v>69</v>
      </c>
      <c r="AV6">
        <v>181.191</v>
      </c>
      <c r="AW6" t="s">
        <v>69</v>
      </c>
      <c r="AX6" t="s">
        <v>69</v>
      </c>
      <c r="AY6">
        <v>357</v>
      </c>
      <c r="AZ6" t="s">
        <v>72</v>
      </c>
      <c r="BA6" t="s">
        <v>69</v>
      </c>
      <c r="BB6" t="s">
        <v>71</v>
      </c>
      <c r="BC6" t="s">
        <v>69</v>
      </c>
      <c r="BD6">
        <v>131.17500000000001</v>
      </c>
      <c r="BE6" t="s">
        <v>69</v>
      </c>
      <c r="BF6" t="s">
        <v>69</v>
      </c>
    </row>
    <row r="7" spans="1:58" x14ac:dyDescent="0.25">
      <c r="A7">
        <v>7</v>
      </c>
      <c r="B7" t="str">
        <f>HYPERLINK("http://www.ncbi.nlm.nih.gov/protein/XP_008986666.1","XP_008986666.1")</f>
        <v>XP_008986666.1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HYPERLINK("http://www.ncbi.nlm.nih.gov/protein/XP_008986666.1","interferon regulatory factor 3 isoform X4")</f>
        <v>interferon regulatory factor 3 isoform X4</v>
      </c>
      <c r="I7" t="s">
        <v>260</v>
      </c>
      <c r="J7" t="s">
        <v>69</v>
      </c>
      <c r="K7">
        <v>260</v>
      </c>
      <c r="L7" t="s">
        <v>69</v>
      </c>
      <c r="M7" t="s">
        <v>69</v>
      </c>
      <c r="N7" t="s">
        <v>152</v>
      </c>
      <c r="O7" t="s">
        <v>69</v>
      </c>
      <c r="P7">
        <v>181.191</v>
      </c>
      <c r="Q7" t="s">
        <v>69</v>
      </c>
      <c r="R7" t="s">
        <v>69</v>
      </c>
      <c r="S7">
        <v>264</v>
      </c>
      <c r="T7" t="s">
        <v>115</v>
      </c>
      <c r="U7" t="s">
        <v>69</v>
      </c>
      <c r="V7" t="s">
        <v>71</v>
      </c>
      <c r="W7" t="s">
        <v>69</v>
      </c>
      <c r="X7">
        <v>117.148</v>
      </c>
      <c r="Y7" t="s">
        <v>69</v>
      </c>
      <c r="Z7" t="s">
        <v>69</v>
      </c>
      <c r="AA7">
        <v>287</v>
      </c>
      <c r="AB7" t="s">
        <v>70</v>
      </c>
      <c r="AC7" t="s">
        <v>69</v>
      </c>
      <c r="AD7" t="s">
        <v>71</v>
      </c>
      <c r="AE7" t="s">
        <v>69</v>
      </c>
      <c r="AF7">
        <v>75.066999999999993</v>
      </c>
      <c r="AG7" t="s">
        <v>69</v>
      </c>
      <c r="AH7" t="s">
        <v>69</v>
      </c>
      <c r="AI7">
        <v>289</v>
      </c>
      <c r="AJ7" t="s">
        <v>249</v>
      </c>
      <c r="AK7" t="s">
        <v>69</v>
      </c>
      <c r="AL7" t="s">
        <v>117</v>
      </c>
      <c r="AM7" t="s">
        <v>69</v>
      </c>
      <c r="AN7">
        <v>121.154</v>
      </c>
      <c r="AO7" t="s">
        <v>69</v>
      </c>
      <c r="AP7" t="s">
        <v>69</v>
      </c>
      <c r="AQ7">
        <v>292</v>
      </c>
      <c r="AR7" t="s">
        <v>69</v>
      </c>
      <c r="AS7" t="s">
        <v>69</v>
      </c>
      <c r="AT7" t="s">
        <v>152</v>
      </c>
      <c r="AU7" t="s">
        <v>69</v>
      </c>
      <c r="AV7">
        <v>181.191</v>
      </c>
      <c r="AW7" t="s">
        <v>69</v>
      </c>
      <c r="AX7" t="s">
        <v>69</v>
      </c>
      <c r="AY7">
        <v>362</v>
      </c>
      <c r="AZ7" t="s">
        <v>72</v>
      </c>
      <c r="BA7" t="s">
        <v>69</v>
      </c>
      <c r="BB7" t="s">
        <v>71</v>
      </c>
      <c r="BC7" t="s">
        <v>69</v>
      </c>
      <c r="BD7">
        <v>131.17500000000001</v>
      </c>
      <c r="BE7" t="s">
        <v>69</v>
      </c>
      <c r="BF7" t="s">
        <v>69</v>
      </c>
    </row>
    <row r="8" spans="1:58" x14ac:dyDescent="0.25">
      <c r="A8">
        <v>7</v>
      </c>
      <c r="B8" t="str">
        <f>HYPERLINK("http://www.ncbi.nlm.nih.gov/protein/XP_047385455.1","XP_047385455.1")</f>
        <v>XP_047385455.1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HYPERLINK("http://www.ncbi.nlm.nih.gov/protein/XP_047385455.1","interferon regulatory factor 3-like isoform X1")</f>
        <v>interferon regulatory factor 3-like isoform X1</v>
      </c>
      <c r="I8" t="s">
        <v>260</v>
      </c>
      <c r="J8" t="s">
        <v>69</v>
      </c>
      <c r="K8">
        <v>259</v>
      </c>
      <c r="L8" t="s">
        <v>69</v>
      </c>
      <c r="M8" t="s">
        <v>69</v>
      </c>
      <c r="N8" t="s">
        <v>152</v>
      </c>
      <c r="O8" t="s">
        <v>69</v>
      </c>
      <c r="P8">
        <v>181.191</v>
      </c>
      <c r="Q8" t="s">
        <v>69</v>
      </c>
      <c r="R8" t="s">
        <v>69</v>
      </c>
      <c r="S8">
        <v>263</v>
      </c>
      <c r="T8" t="s">
        <v>115</v>
      </c>
      <c r="U8" t="s">
        <v>69</v>
      </c>
      <c r="V8" t="s">
        <v>71</v>
      </c>
      <c r="W8" t="s">
        <v>69</v>
      </c>
      <c r="X8">
        <v>117.148</v>
      </c>
      <c r="Y8" t="s">
        <v>69</v>
      </c>
      <c r="Z8" t="s">
        <v>69</v>
      </c>
      <c r="AA8">
        <v>286</v>
      </c>
      <c r="AB8" t="s">
        <v>70</v>
      </c>
      <c r="AC8" t="s">
        <v>69</v>
      </c>
      <c r="AD8" t="s">
        <v>71</v>
      </c>
      <c r="AE8" t="s">
        <v>69</v>
      </c>
      <c r="AF8">
        <v>75.066999999999993</v>
      </c>
      <c r="AG8" t="s">
        <v>69</v>
      </c>
      <c r="AH8" t="s">
        <v>69</v>
      </c>
      <c r="AI8">
        <v>288</v>
      </c>
      <c r="AJ8" t="s">
        <v>249</v>
      </c>
      <c r="AK8" t="s">
        <v>69</v>
      </c>
      <c r="AL8" t="s">
        <v>117</v>
      </c>
      <c r="AM8" t="s">
        <v>69</v>
      </c>
      <c r="AN8">
        <v>121.154</v>
      </c>
      <c r="AO8" t="s">
        <v>69</v>
      </c>
      <c r="AP8" t="s">
        <v>69</v>
      </c>
      <c r="AQ8">
        <v>291</v>
      </c>
      <c r="AR8" t="s">
        <v>69</v>
      </c>
      <c r="AS8" t="s">
        <v>69</v>
      </c>
      <c r="AT8" t="s">
        <v>152</v>
      </c>
      <c r="AU8" t="s">
        <v>69</v>
      </c>
      <c r="AV8">
        <v>181.191</v>
      </c>
      <c r="AW8" t="s">
        <v>69</v>
      </c>
      <c r="AX8" t="s">
        <v>69</v>
      </c>
      <c r="AY8">
        <v>361</v>
      </c>
      <c r="AZ8" t="s">
        <v>72</v>
      </c>
      <c r="BA8" t="s">
        <v>69</v>
      </c>
      <c r="BB8" t="s">
        <v>71</v>
      </c>
      <c r="BC8" t="s">
        <v>69</v>
      </c>
      <c r="BD8">
        <v>131.17500000000001</v>
      </c>
      <c r="BE8" t="s">
        <v>69</v>
      </c>
      <c r="BF8" t="s">
        <v>69</v>
      </c>
    </row>
    <row r="9" spans="1:58" x14ac:dyDescent="0.25">
      <c r="A9">
        <v>7</v>
      </c>
      <c r="B9" t="str">
        <f>HYPERLINK("http://www.ncbi.nlm.nih.gov/protein/XP_006160196.3","XP_006160196.3")</f>
        <v>XP_006160196.3</v>
      </c>
      <c r="C9">
        <v>59507</v>
      </c>
      <c r="D9" t="str">
        <f>HYPERLINK("http://www.ncbi.nlm.nih.gov/Taxonomy/Browser/wwwtax.cgi?mode=Info&amp;id=246437&amp;lvl=3&amp;lin=f&amp;keep=1&amp;srchmode=1&amp;unlock","246437")</f>
        <v>246437</v>
      </c>
      <c r="E9" t="s">
        <v>66</v>
      </c>
      <c r="F9" t="str">
        <f>HYPERLINK("http://www.ncbi.nlm.nih.gov/Taxonomy/Browser/wwwtax.cgi?mode=Info&amp;id=246437&amp;lvl=3&amp;lin=f&amp;keep=1&amp;srchmode=1&amp;unlock","Tupaia chinensis")</f>
        <v>Tupaia chinensis</v>
      </c>
      <c r="G9" t="s">
        <v>97</v>
      </c>
      <c r="H9" t="str">
        <f>HYPERLINK("http://www.ncbi.nlm.nih.gov/protein/XP_006160196.3","interferon regulatory factor 3 isoform X1")</f>
        <v>interferon regulatory factor 3 isoform X1</v>
      </c>
      <c r="I9" t="s">
        <v>260</v>
      </c>
      <c r="J9" t="s">
        <v>69</v>
      </c>
      <c r="K9">
        <v>393</v>
      </c>
      <c r="L9" t="s">
        <v>69</v>
      </c>
      <c r="M9" t="s">
        <v>69</v>
      </c>
      <c r="N9" t="s">
        <v>152</v>
      </c>
      <c r="O9" t="s">
        <v>69</v>
      </c>
      <c r="P9">
        <v>181.191</v>
      </c>
      <c r="Q9" t="s">
        <v>69</v>
      </c>
      <c r="R9" t="s">
        <v>69</v>
      </c>
      <c r="S9">
        <v>397</v>
      </c>
      <c r="T9" t="s">
        <v>115</v>
      </c>
      <c r="U9" t="s">
        <v>69</v>
      </c>
      <c r="V9" t="s">
        <v>71</v>
      </c>
      <c r="W9" t="s">
        <v>69</v>
      </c>
      <c r="X9">
        <v>117.148</v>
      </c>
      <c r="Y9" t="s">
        <v>69</v>
      </c>
      <c r="Z9" t="s">
        <v>69</v>
      </c>
      <c r="AA9">
        <v>420</v>
      </c>
      <c r="AB9" t="s">
        <v>70</v>
      </c>
      <c r="AC9" t="s">
        <v>69</v>
      </c>
      <c r="AD9" t="s">
        <v>71</v>
      </c>
      <c r="AE9" t="s">
        <v>69</v>
      </c>
      <c r="AF9">
        <v>75.066999999999993</v>
      </c>
      <c r="AG9" t="s">
        <v>69</v>
      </c>
      <c r="AH9" t="s">
        <v>69</v>
      </c>
      <c r="AI9">
        <v>422</v>
      </c>
      <c r="AJ9" t="s">
        <v>249</v>
      </c>
      <c r="AK9" t="s">
        <v>69</v>
      </c>
      <c r="AL9" t="s">
        <v>117</v>
      </c>
      <c r="AM9" t="s">
        <v>69</v>
      </c>
      <c r="AN9">
        <v>121.154</v>
      </c>
      <c r="AO9" t="s">
        <v>69</v>
      </c>
      <c r="AP9" t="s">
        <v>69</v>
      </c>
      <c r="AQ9">
        <v>425</v>
      </c>
      <c r="AR9" t="s">
        <v>69</v>
      </c>
      <c r="AS9" t="s">
        <v>69</v>
      </c>
      <c r="AT9" t="s">
        <v>152</v>
      </c>
      <c r="AU9" t="s">
        <v>69</v>
      </c>
      <c r="AV9">
        <v>181.191</v>
      </c>
      <c r="AW9" t="s">
        <v>69</v>
      </c>
      <c r="AX9" t="s">
        <v>69</v>
      </c>
      <c r="AY9">
        <v>495</v>
      </c>
      <c r="AZ9" t="s">
        <v>72</v>
      </c>
      <c r="BA9" t="s">
        <v>69</v>
      </c>
      <c r="BB9" t="s">
        <v>71</v>
      </c>
      <c r="BC9" t="s">
        <v>69</v>
      </c>
      <c r="BD9">
        <v>131.17500000000001</v>
      </c>
      <c r="BE9" t="s">
        <v>69</v>
      </c>
      <c r="BF9" t="s">
        <v>69</v>
      </c>
    </row>
    <row r="10" spans="1:58" x14ac:dyDescent="0.25">
      <c r="A10">
        <v>7</v>
      </c>
      <c r="B10" t="str">
        <f>HYPERLINK("http://www.ncbi.nlm.nih.gov/protein/XP_036087713.1","XP_036087713.1")</f>
        <v>XP_036087713.1</v>
      </c>
      <c r="C10">
        <v>117142</v>
      </c>
      <c r="D10" t="str">
        <f>HYPERLINK("http://www.ncbi.nlm.nih.gov/Taxonomy/Browser/wwwtax.cgi?mode=Info&amp;id=9407&amp;lvl=3&amp;lin=f&amp;keep=1&amp;srchmode=1&amp;unlock","9407")</f>
        <v>9407</v>
      </c>
      <c r="E10" t="s">
        <v>66</v>
      </c>
      <c r="F10" t="str">
        <f>HYPERLINK("http://www.ncbi.nlm.nih.gov/Taxonomy/Browser/wwwtax.cgi?mode=Info&amp;id=9407&amp;lvl=3&amp;lin=f&amp;keep=1&amp;srchmode=1&amp;unlock","Rousettus aegyptiacus")</f>
        <v>Rousettus aegyptiacus</v>
      </c>
      <c r="G10" t="s">
        <v>103</v>
      </c>
      <c r="H10" t="str">
        <f>HYPERLINK("http://www.ncbi.nlm.nih.gov/protein/XP_036087713.1","interferon regulatory factor 3 isoform X3")</f>
        <v>interferon regulatory factor 3 isoform X3</v>
      </c>
      <c r="I10" t="s">
        <v>260</v>
      </c>
      <c r="J10" t="s">
        <v>69</v>
      </c>
      <c r="K10">
        <v>260</v>
      </c>
      <c r="L10" t="s">
        <v>151</v>
      </c>
      <c r="M10" t="s">
        <v>153</v>
      </c>
      <c r="N10" t="s">
        <v>152</v>
      </c>
      <c r="O10" t="s">
        <v>69</v>
      </c>
      <c r="P10">
        <v>165.19200000000001</v>
      </c>
      <c r="Q10" t="s">
        <v>69</v>
      </c>
      <c r="R10" t="s">
        <v>69</v>
      </c>
      <c r="S10">
        <v>264</v>
      </c>
      <c r="T10" t="s">
        <v>115</v>
      </c>
      <c r="U10" t="s">
        <v>69</v>
      </c>
      <c r="V10" t="s">
        <v>71</v>
      </c>
      <c r="W10" t="s">
        <v>69</v>
      </c>
      <c r="X10">
        <v>117.148</v>
      </c>
      <c r="Y10" t="s">
        <v>69</v>
      </c>
      <c r="Z10" t="s">
        <v>69</v>
      </c>
      <c r="AA10">
        <v>287</v>
      </c>
      <c r="AB10" t="s">
        <v>70</v>
      </c>
      <c r="AC10" t="s">
        <v>69</v>
      </c>
      <c r="AD10" t="s">
        <v>71</v>
      </c>
      <c r="AE10" t="s">
        <v>69</v>
      </c>
      <c r="AF10">
        <v>75.066999999999993</v>
      </c>
      <c r="AG10" t="s">
        <v>69</v>
      </c>
      <c r="AH10" t="s">
        <v>69</v>
      </c>
      <c r="AI10">
        <v>289</v>
      </c>
      <c r="AJ10" t="s">
        <v>249</v>
      </c>
      <c r="AK10" t="s">
        <v>69</v>
      </c>
      <c r="AL10" t="s">
        <v>117</v>
      </c>
      <c r="AM10" t="s">
        <v>69</v>
      </c>
      <c r="AN10">
        <v>121.154</v>
      </c>
      <c r="AO10" t="s">
        <v>69</v>
      </c>
      <c r="AP10" t="s">
        <v>69</v>
      </c>
      <c r="AQ10">
        <v>292</v>
      </c>
      <c r="AR10" t="s">
        <v>69</v>
      </c>
      <c r="AS10" t="s">
        <v>69</v>
      </c>
      <c r="AT10" t="s">
        <v>152</v>
      </c>
      <c r="AU10" t="s">
        <v>69</v>
      </c>
      <c r="AV10">
        <v>181.191</v>
      </c>
      <c r="AW10" t="s">
        <v>69</v>
      </c>
      <c r="AX10" t="s">
        <v>69</v>
      </c>
      <c r="AY10">
        <v>362</v>
      </c>
      <c r="AZ10" t="s">
        <v>72</v>
      </c>
      <c r="BA10" t="s">
        <v>69</v>
      </c>
      <c r="BB10" t="s">
        <v>71</v>
      </c>
      <c r="BC10" t="s">
        <v>69</v>
      </c>
      <c r="BD10">
        <v>131.17500000000001</v>
      </c>
      <c r="BE10" t="s">
        <v>69</v>
      </c>
      <c r="BF10" t="s">
        <v>69</v>
      </c>
    </row>
    <row r="11" spans="1:58" x14ac:dyDescent="0.25">
      <c r="A11">
        <v>7</v>
      </c>
      <c r="B11" t="str">
        <f>HYPERLINK("http://www.ncbi.nlm.nih.gov/protein/XP_046933582.1","XP_046933582.1")</f>
        <v>XP_046933582.1</v>
      </c>
      <c r="C11">
        <v>38764</v>
      </c>
      <c r="D11" t="str">
        <f>HYPERLINK("http://www.ncbi.nlm.nih.gov/Taxonomy/Browser/wwwtax.cgi?mode=Info&amp;id=61384&amp;lvl=3&amp;lin=f&amp;keep=1&amp;srchmode=1&amp;unlock","61384")</f>
        <v>61384</v>
      </c>
      <c r="E11" t="s">
        <v>66</v>
      </c>
      <c r="F11" t="str">
        <f>HYPERLINK("http://www.ncbi.nlm.nih.gov/Taxonomy/Browser/wwwtax.cgi?mode=Info&amp;id=61384&amp;lvl=3&amp;lin=f&amp;keep=1&amp;srchmode=1&amp;unlock","Lynx rufus")</f>
        <v>Lynx rufus</v>
      </c>
      <c r="G11" t="s">
        <v>93</v>
      </c>
      <c r="H11" t="str">
        <f>HYPERLINK("http://www.ncbi.nlm.nih.gov/protein/XP_046933582.1","interferon regulatory factor 3-like isoform X3")</f>
        <v>interferon regulatory factor 3-like isoform X3</v>
      </c>
      <c r="I11" t="s">
        <v>260</v>
      </c>
      <c r="J11" t="s">
        <v>69</v>
      </c>
      <c r="K11">
        <v>274</v>
      </c>
      <c r="L11" t="s">
        <v>69</v>
      </c>
      <c r="M11" t="s">
        <v>69</v>
      </c>
      <c r="N11" t="s">
        <v>152</v>
      </c>
      <c r="O11" t="s">
        <v>69</v>
      </c>
      <c r="P11">
        <v>181.191</v>
      </c>
      <c r="Q11" t="s">
        <v>69</v>
      </c>
      <c r="R11" t="s">
        <v>69</v>
      </c>
      <c r="S11">
        <v>278</v>
      </c>
      <c r="T11" t="s">
        <v>115</v>
      </c>
      <c r="U11" t="s">
        <v>69</v>
      </c>
      <c r="V11" t="s">
        <v>71</v>
      </c>
      <c r="W11" t="s">
        <v>69</v>
      </c>
      <c r="X11">
        <v>117.148</v>
      </c>
      <c r="Y11" t="s">
        <v>69</v>
      </c>
      <c r="Z11" t="s">
        <v>69</v>
      </c>
      <c r="AA11">
        <v>301</v>
      </c>
      <c r="AB11" t="s">
        <v>70</v>
      </c>
      <c r="AC11" t="s">
        <v>69</v>
      </c>
      <c r="AD11" t="s">
        <v>71</v>
      </c>
      <c r="AE11" t="s">
        <v>69</v>
      </c>
      <c r="AF11">
        <v>75.066999999999993</v>
      </c>
      <c r="AG11" t="s">
        <v>69</v>
      </c>
      <c r="AH11" t="s">
        <v>69</v>
      </c>
      <c r="AI11">
        <v>303</v>
      </c>
      <c r="AJ11" t="s">
        <v>249</v>
      </c>
      <c r="AK11" t="s">
        <v>69</v>
      </c>
      <c r="AL11" t="s">
        <v>117</v>
      </c>
      <c r="AM11" t="s">
        <v>69</v>
      </c>
      <c r="AN11">
        <v>121.154</v>
      </c>
      <c r="AO11" t="s">
        <v>69</v>
      </c>
      <c r="AP11" t="s">
        <v>69</v>
      </c>
      <c r="AQ11">
        <v>306</v>
      </c>
      <c r="AR11" t="s">
        <v>69</v>
      </c>
      <c r="AS11" t="s">
        <v>69</v>
      </c>
      <c r="AT11" t="s">
        <v>152</v>
      </c>
      <c r="AU11" t="s">
        <v>69</v>
      </c>
      <c r="AV11">
        <v>181.191</v>
      </c>
      <c r="AW11" t="s">
        <v>69</v>
      </c>
      <c r="AX11" t="s">
        <v>69</v>
      </c>
      <c r="AY11">
        <v>376</v>
      </c>
      <c r="AZ11" t="s">
        <v>72</v>
      </c>
      <c r="BA11" t="s">
        <v>69</v>
      </c>
      <c r="BB11" t="s">
        <v>71</v>
      </c>
      <c r="BC11" t="s">
        <v>69</v>
      </c>
      <c r="BD11">
        <v>131.17500000000001</v>
      </c>
      <c r="BE11" t="s">
        <v>69</v>
      </c>
      <c r="BF11" t="s">
        <v>69</v>
      </c>
    </row>
    <row r="12" spans="1:58" x14ac:dyDescent="0.25">
      <c r="A12">
        <v>7</v>
      </c>
      <c r="B12" t="str">
        <f>HYPERLINK("http://www.ncbi.nlm.nih.gov/protein/XP_032447136.1","XP_032447136.1")</f>
        <v>XP_032447136.1</v>
      </c>
      <c r="C12">
        <v>42175</v>
      </c>
      <c r="D12" t="str">
        <f>HYPERLINK("http://www.ncbi.nlm.nih.gov/Taxonomy/Browser/wwwtax.cgi?mode=Info&amp;id=61383&amp;lvl=3&amp;lin=f&amp;keep=1&amp;srchmode=1&amp;unlock","61383")</f>
        <v>61383</v>
      </c>
      <c r="E12" t="s">
        <v>66</v>
      </c>
      <c r="F12" t="str">
        <f>HYPERLINK("http://www.ncbi.nlm.nih.gov/Taxonomy/Browser/wwwtax.cgi?mode=Info&amp;id=61383&amp;lvl=3&amp;lin=f&amp;keep=1&amp;srchmode=1&amp;unlock","Lynx canadensis")</f>
        <v>Lynx canadensis</v>
      </c>
      <c r="G12" t="s">
        <v>105</v>
      </c>
      <c r="H12" t="str">
        <f>HYPERLINK("http://www.ncbi.nlm.nih.gov/protein/XP_032447136.1","interferon regulatory factor 3 isoform X4")</f>
        <v>interferon regulatory factor 3 isoform X4</v>
      </c>
      <c r="I12" t="s">
        <v>260</v>
      </c>
      <c r="J12" t="s">
        <v>69</v>
      </c>
      <c r="K12">
        <v>259</v>
      </c>
      <c r="L12" t="s">
        <v>69</v>
      </c>
      <c r="M12" t="s">
        <v>69</v>
      </c>
      <c r="N12" t="s">
        <v>152</v>
      </c>
      <c r="O12" t="s">
        <v>69</v>
      </c>
      <c r="P12">
        <v>181.191</v>
      </c>
      <c r="Q12" t="s">
        <v>69</v>
      </c>
      <c r="R12" t="s">
        <v>69</v>
      </c>
      <c r="S12">
        <v>263</v>
      </c>
      <c r="T12" t="s">
        <v>115</v>
      </c>
      <c r="U12" t="s">
        <v>69</v>
      </c>
      <c r="V12" t="s">
        <v>71</v>
      </c>
      <c r="W12" t="s">
        <v>69</v>
      </c>
      <c r="X12">
        <v>117.148</v>
      </c>
      <c r="Y12" t="s">
        <v>69</v>
      </c>
      <c r="Z12" t="s">
        <v>69</v>
      </c>
      <c r="AA12">
        <v>286</v>
      </c>
      <c r="AB12" t="s">
        <v>70</v>
      </c>
      <c r="AC12" t="s">
        <v>69</v>
      </c>
      <c r="AD12" t="s">
        <v>71</v>
      </c>
      <c r="AE12" t="s">
        <v>69</v>
      </c>
      <c r="AF12">
        <v>75.066999999999993</v>
      </c>
      <c r="AG12" t="s">
        <v>69</v>
      </c>
      <c r="AH12" t="s">
        <v>69</v>
      </c>
      <c r="AI12">
        <v>288</v>
      </c>
      <c r="AJ12" t="s">
        <v>249</v>
      </c>
      <c r="AK12" t="s">
        <v>69</v>
      </c>
      <c r="AL12" t="s">
        <v>117</v>
      </c>
      <c r="AM12" t="s">
        <v>69</v>
      </c>
      <c r="AN12">
        <v>121.154</v>
      </c>
      <c r="AO12" t="s">
        <v>69</v>
      </c>
      <c r="AP12" t="s">
        <v>69</v>
      </c>
      <c r="AQ12">
        <v>291</v>
      </c>
      <c r="AR12" t="s">
        <v>69</v>
      </c>
      <c r="AS12" t="s">
        <v>69</v>
      </c>
      <c r="AT12" t="s">
        <v>152</v>
      </c>
      <c r="AU12" t="s">
        <v>69</v>
      </c>
      <c r="AV12">
        <v>181.191</v>
      </c>
      <c r="AW12" t="s">
        <v>69</v>
      </c>
      <c r="AX12" t="s">
        <v>69</v>
      </c>
      <c r="AY12">
        <v>361</v>
      </c>
      <c r="AZ12" t="s">
        <v>72</v>
      </c>
      <c r="BA12" t="s">
        <v>69</v>
      </c>
      <c r="BB12" t="s">
        <v>71</v>
      </c>
      <c r="BC12" t="s">
        <v>69</v>
      </c>
      <c r="BD12">
        <v>131.17500000000001</v>
      </c>
      <c r="BE12" t="s">
        <v>69</v>
      </c>
      <c r="BF12" t="s">
        <v>69</v>
      </c>
    </row>
    <row r="13" spans="1:58" x14ac:dyDescent="0.25">
      <c r="A13">
        <v>7</v>
      </c>
      <c r="B13" t="str">
        <f>HYPERLINK("http://www.ncbi.nlm.nih.gov/protein/XP_007074239.2","XP_007074239.2")</f>
        <v>XP_007074239.2</v>
      </c>
      <c r="C13">
        <v>56089</v>
      </c>
      <c r="D13" t="str">
        <f>HYPERLINK("http://www.ncbi.nlm.nih.gov/Taxonomy/Browser/wwwtax.cgi?mode=Info&amp;id=9694&amp;lvl=3&amp;lin=f&amp;keep=1&amp;srchmode=1&amp;unlock","9694")</f>
        <v>9694</v>
      </c>
      <c r="E13" t="s">
        <v>66</v>
      </c>
      <c r="F13" t="str">
        <f>HYPERLINK("http://www.ncbi.nlm.nih.gov/Taxonomy/Browser/wwwtax.cgi?mode=Info&amp;id=9694&amp;lvl=3&amp;lin=f&amp;keep=1&amp;srchmode=1&amp;unlock","Panthera tigris")</f>
        <v>Panthera tigris</v>
      </c>
      <c r="G13" t="s">
        <v>89</v>
      </c>
      <c r="H13" t="str">
        <f>HYPERLINK("http://www.ncbi.nlm.nih.gov/protein/XP_007074239.2","interferon regulatory factor 3 isoform X2")</f>
        <v>interferon regulatory factor 3 isoform X2</v>
      </c>
      <c r="I13" t="s">
        <v>260</v>
      </c>
      <c r="J13" t="s">
        <v>69</v>
      </c>
      <c r="K13">
        <v>259</v>
      </c>
      <c r="L13" t="s">
        <v>69</v>
      </c>
      <c r="M13" t="s">
        <v>69</v>
      </c>
      <c r="N13" t="s">
        <v>152</v>
      </c>
      <c r="O13" t="s">
        <v>69</v>
      </c>
      <c r="P13">
        <v>181.191</v>
      </c>
      <c r="Q13" t="s">
        <v>69</v>
      </c>
      <c r="R13" t="s">
        <v>69</v>
      </c>
      <c r="S13">
        <v>263</v>
      </c>
      <c r="T13" t="s">
        <v>115</v>
      </c>
      <c r="U13" t="s">
        <v>69</v>
      </c>
      <c r="V13" t="s">
        <v>71</v>
      </c>
      <c r="W13" t="s">
        <v>69</v>
      </c>
      <c r="X13">
        <v>117.148</v>
      </c>
      <c r="Y13" t="s">
        <v>69</v>
      </c>
      <c r="Z13" t="s">
        <v>69</v>
      </c>
      <c r="AA13">
        <v>286</v>
      </c>
      <c r="AB13" t="s">
        <v>70</v>
      </c>
      <c r="AC13" t="s">
        <v>69</v>
      </c>
      <c r="AD13" t="s">
        <v>71</v>
      </c>
      <c r="AE13" t="s">
        <v>69</v>
      </c>
      <c r="AF13">
        <v>75.066999999999993</v>
      </c>
      <c r="AG13" t="s">
        <v>69</v>
      </c>
      <c r="AH13" t="s">
        <v>69</v>
      </c>
      <c r="AI13">
        <v>288</v>
      </c>
      <c r="AJ13" t="s">
        <v>249</v>
      </c>
      <c r="AK13" t="s">
        <v>69</v>
      </c>
      <c r="AL13" t="s">
        <v>117</v>
      </c>
      <c r="AM13" t="s">
        <v>69</v>
      </c>
      <c r="AN13">
        <v>121.154</v>
      </c>
      <c r="AO13" t="s">
        <v>69</v>
      </c>
      <c r="AP13" t="s">
        <v>69</v>
      </c>
      <c r="AQ13">
        <v>291</v>
      </c>
      <c r="AR13" t="s">
        <v>69</v>
      </c>
      <c r="AS13" t="s">
        <v>69</v>
      </c>
      <c r="AT13" t="s">
        <v>152</v>
      </c>
      <c r="AU13" t="s">
        <v>69</v>
      </c>
      <c r="AV13">
        <v>181.191</v>
      </c>
      <c r="AW13" t="s">
        <v>69</v>
      </c>
      <c r="AX13" t="s">
        <v>69</v>
      </c>
      <c r="AY13">
        <v>361</v>
      </c>
      <c r="AZ13" t="s">
        <v>72</v>
      </c>
      <c r="BA13" t="s">
        <v>69</v>
      </c>
      <c r="BB13" t="s">
        <v>71</v>
      </c>
      <c r="BC13" t="s">
        <v>69</v>
      </c>
      <c r="BD13">
        <v>131.17500000000001</v>
      </c>
      <c r="BE13" t="s">
        <v>69</v>
      </c>
      <c r="BF13" t="s">
        <v>69</v>
      </c>
    </row>
    <row r="14" spans="1:58" x14ac:dyDescent="0.25">
      <c r="A14">
        <v>7</v>
      </c>
      <c r="B14" t="str">
        <f>HYPERLINK("http://www.ncbi.nlm.nih.gov/protein/XP_042775262.1","XP_042775262.1")</f>
        <v>XP_042775262.1</v>
      </c>
      <c r="C14">
        <v>53677</v>
      </c>
      <c r="D14" t="str">
        <f>HYPERLINK("http://www.ncbi.nlm.nih.gov/Taxonomy/Browser/wwwtax.cgi?mode=Info&amp;id=9689&amp;lvl=3&amp;lin=f&amp;keep=1&amp;srchmode=1&amp;unlock","9689")</f>
        <v>9689</v>
      </c>
      <c r="E14" t="s">
        <v>66</v>
      </c>
      <c r="F14" t="str">
        <f>HYPERLINK("http://www.ncbi.nlm.nih.gov/Taxonomy/Browser/wwwtax.cgi?mode=Info&amp;id=9689&amp;lvl=3&amp;lin=f&amp;keep=1&amp;srchmode=1&amp;unlock","Panthera leo")</f>
        <v>Panthera leo</v>
      </c>
      <c r="G14" t="s">
        <v>90</v>
      </c>
      <c r="H14" t="str">
        <f>HYPERLINK("http://www.ncbi.nlm.nih.gov/protein/XP_042775262.1","interferon regulatory factor 3 isoform X3")</f>
        <v>interferon regulatory factor 3 isoform X3</v>
      </c>
      <c r="I14" t="s">
        <v>260</v>
      </c>
      <c r="J14" t="s">
        <v>69</v>
      </c>
      <c r="K14">
        <v>259</v>
      </c>
      <c r="L14" t="s">
        <v>69</v>
      </c>
      <c r="M14" t="s">
        <v>69</v>
      </c>
      <c r="N14" t="s">
        <v>152</v>
      </c>
      <c r="O14" t="s">
        <v>69</v>
      </c>
      <c r="P14">
        <v>181.191</v>
      </c>
      <c r="Q14" t="s">
        <v>69</v>
      </c>
      <c r="R14" t="s">
        <v>69</v>
      </c>
      <c r="S14">
        <v>263</v>
      </c>
      <c r="T14" t="s">
        <v>115</v>
      </c>
      <c r="U14" t="s">
        <v>69</v>
      </c>
      <c r="V14" t="s">
        <v>71</v>
      </c>
      <c r="W14" t="s">
        <v>69</v>
      </c>
      <c r="X14">
        <v>117.148</v>
      </c>
      <c r="Y14" t="s">
        <v>69</v>
      </c>
      <c r="Z14" t="s">
        <v>69</v>
      </c>
      <c r="AA14">
        <v>286</v>
      </c>
      <c r="AB14" t="s">
        <v>70</v>
      </c>
      <c r="AC14" t="s">
        <v>69</v>
      </c>
      <c r="AD14" t="s">
        <v>71</v>
      </c>
      <c r="AE14" t="s">
        <v>69</v>
      </c>
      <c r="AF14">
        <v>75.066999999999993</v>
      </c>
      <c r="AG14" t="s">
        <v>69</v>
      </c>
      <c r="AH14" t="s">
        <v>69</v>
      </c>
      <c r="AI14">
        <v>288</v>
      </c>
      <c r="AJ14" t="s">
        <v>249</v>
      </c>
      <c r="AK14" t="s">
        <v>69</v>
      </c>
      <c r="AL14" t="s">
        <v>117</v>
      </c>
      <c r="AM14" t="s">
        <v>69</v>
      </c>
      <c r="AN14">
        <v>121.154</v>
      </c>
      <c r="AO14" t="s">
        <v>69</v>
      </c>
      <c r="AP14" t="s">
        <v>69</v>
      </c>
      <c r="AQ14">
        <v>291</v>
      </c>
      <c r="AR14" t="s">
        <v>69</v>
      </c>
      <c r="AS14" t="s">
        <v>69</v>
      </c>
      <c r="AT14" t="s">
        <v>152</v>
      </c>
      <c r="AU14" t="s">
        <v>69</v>
      </c>
      <c r="AV14">
        <v>181.191</v>
      </c>
      <c r="AW14" t="s">
        <v>69</v>
      </c>
      <c r="AX14" t="s">
        <v>69</v>
      </c>
      <c r="AY14">
        <v>361</v>
      </c>
      <c r="AZ14" t="s">
        <v>72</v>
      </c>
      <c r="BA14" t="s">
        <v>69</v>
      </c>
      <c r="BB14" t="s">
        <v>71</v>
      </c>
      <c r="BC14" t="s">
        <v>69</v>
      </c>
      <c r="BD14">
        <v>131.17500000000001</v>
      </c>
      <c r="BE14" t="s">
        <v>69</v>
      </c>
      <c r="BF14" t="s">
        <v>69</v>
      </c>
    </row>
    <row r="15" spans="1:58" x14ac:dyDescent="0.25">
      <c r="A15">
        <v>7</v>
      </c>
      <c r="B15" t="str">
        <f>HYPERLINK("http://www.ncbi.nlm.nih.gov/protein/XP_019674768.2","XP_019674768.2")</f>
        <v>XP_019674768.2</v>
      </c>
      <c r="C15">
        <v>74287</v>
      </c>
      <c r="D15" t="str">
        <f>HYPERLINK("http://www.ncbi.nlm.nih.gov/Taxonomy/Browser/wwwtax.cgi?mode=Info&amp;id=9685&amp;lvl=3&amp;lin=f&amp;keep=1&amp;srchmode=1&amp;unlock","9685")</f>
        <v>9685</v>
      </c>
      <c r="E15" t="s">
        <v>66</v>
      </c>
      <c r="F15" t="str">
        <f>HYPERLINK("http://www.ncbi.nlm.nih.gov/Taxonomy/Browser/wwwtax.cgi?mode=Info&amp;id=9685&amp;lvl=3&amp;lin=f&amp;keep=1&amp;srchmode=1&amp;unlock","Felis catus")</f>
        <v>Felis catus</v>
      </c>
      <c r="G15" t="s">
        <v>86</v>
      </c>
      <c r="H15" t="str">
        <f>HYPERLINK("http://www.ncbi.nlm.nih.gov/protein/XP_019674768.2","interferon regulatory factor 3 isoform X3")</f>
        <v>interferon regulatory factor 3 isoform X3</v>
      </c>
      <c r="I15" t="s">
        <v>260</v>
      </c>
      <c r="J15" t="s">
        <v>69</v>
      </c>
      <c r="K15">
        <v>289</v>
      </c>
      <c r="L15" t="s">
        <v>69</v>
      </c>
      <c r="M15" t="s">
        <v>69</v>
      </c>
      <c r="N15" t="s">
        <v>152</v>
      </c>
      <c r="O15" t="s">
        <v>69</v>
      </c>
      <c r="P15">
        <v>181.191</v>
      </c>
      <c r="Q15" t="s">
        <v>69</v>
      </c>
      <c r="R15" t="s">
        <v>69</v>
      </c>
      <c r="S15">
        <v>293</v>
      </c>
      <c r="T15" t="s">
        <v>115</v>
      </c>
      <c r="U15" t="s">
        <v>69</v>
      </c>
      <c r="V15" t="s">
        <v>71</v>
      </c>
      <c r="W15" t="s">
        <v>69</v>
      </c>
      <c r="X15">
        <v>117.148</v>
      </c>
      <c r="Y15" t="s">
        <v>69</v>
      </c>
      <c r="Z15" t="s">
        <v>69</v>
      </c>
      <c r="AA15">
        <v>316</v>
      </c>
      <c r="AB15" t="s">
        <v>70</v>
      </c>
      <c r="AC15" t="s">
        <v>69</v>
      </c>
      <c r="AD15" t="s">
        <v>71</v>
      </c>
      <c r="AE15" t="s">
        <v>69</v>
      </c>
      <c r="AF15">
        <v>75.066999999999993</v>
      </c>
      <c r="AG15" t="s">
        <v>69</v>
      </c>
      <c r="AH15" t="s">
        <v>69</v>
      </c>
      <c r="AI15">
        <v>318</v>
      </c>
      <c r="AJ15" t="s">
        <v>249</v>
      </c>
      <c r="AK15" t="s">
        <v>69</v>
      </c>
      <c r="AL15" t="s">
        <v>117</v>
      </c>
      <c r="AM15" t="s">
        <v>69</v>
      </c>
      <c r="AN15">
        <v>121.154</v>
      </c>
      <c r="AO15" t="s">
        <v>69</v>
      </c>
      <c r="AP15" t="s">
        <v>69</v>
      </c>
      <c r="AQ15">
        <v>321</v>
      </c>
      <c r="AR15" t="s">
        <v>69</v>
      </c>
      <c r="AS15" t="s">
        <v>69</v>
      </c>
      <c r="AT15" t="s">
        <v>152</v>
      </c>
      <c r="AU15" t="s">
        <v>69</v>
      </c>
      <c r="AV15">
        <v>181.191</v>
      </c>
      <c r="AW15" t="s">
        <v>69</v>
      </c>
      <c r="AX15" t="s">
        <v>69</v>
      </c>
      <c r="AY15">
        <v>391</v>
      </c>
      <c r="AZ15" t="s">
        <v>72</v>
      </c>
      <c r="BA15" t="s">
        <v>69</v>
      </c>
      <c r="BB15" t="s">
        <v>71</v>
      </c>
      <c r="BC15" t="s">
        <v>69</v>
      </c>
      <c r="BD15">
        <v>131.17500000000001</v>
      </c>
      <c r="BE15" t="s">
        <v>69</v>
      </c>
      <c r="BF15" t="s">
        <v>69</v>
      </c>
    </row>
    <row r="16" spans="1:58" x14ac:dyDescent="0.25">
      <c r="A16">
        <v>7</v>
      </c>
      <c r="B16" t="str">
        <f>HYPERLINK("http://www.ncbi.nlm.nih.gov/protein/CAD7692344.1","CAD7692344.1")</f>
        <v>CAD7692344.1</v>
      </c>
      <c r="C16">
        <v>27271</v>
      </c>
      <c r="D16" t="str">
        <f>HYPERLINK("http://www.ncbi.nlm.nih.gov/Taxonomy/Browser/wwwtax.cgi?mode=Info&amp;id=34880&amp;lvl=3&amp;lin=f&amp;keep=1&amp;srchmode=1&amp;unlock","34880")</f>
        <v>34880</v>
      </c>
      <c r="E16" t="s">
        <v>66</v>
      </c>
      <c r="F16" t="str">
        <f>HYPERLINK("http://www.ncbi.nlm.nih.gov/Taxonomy/Browser/wwwtax.cgi?mode=Info&amp;id=34880&amp;lvl=3&amp;lin=f&amp;keep=1&amp;srchmode=1&amp;unlock","Nyctereutes procyonoides")</f>
        <v>Nyctereutes procyonoides</v>
      </c>
      <c r="G16" t="s">
        <v>92</v>
      </c>
      <c r="H16" t="str">
        <f>HYPERLINK("http://www.ncbi.nlm.nih.gov/protein/CAD7692344.1","unnamed protein product")</f>
        <v>unnamed protein product</v>
      </c>
      <c r="I16" t="s">
        <v>260</v>
      </c>
      <c r="J16" t="s">
        <v>69</v>
      </c>
      <c r="K16">
        <v>297</v>
      </c>
      <c r="L16" t="s">
        <v>69</v>
      </c>
      <c r="M16" t="s">
        <v>69</v>
      </c>
      <c r="N16" t="s">
        <v>152</v>
      </c>
      <c r="O16" t="s">
        <v>69</v>
      </c>
      <c r="P16">
        <v>181.191</v>
      </c>
      <c r="Q16" t="s">
        <v>69</v>
      </c>
      <c r="R16" t="s">
        <v>69</v>
      </c>
      <c r="S16">
        <v>301</v>
      </c>
      <c r="T16" t="s">
        <v>115</v>
      </c>
      <c r="U16" t="s">
        <v>69</v>
      </c>
      <c r="V16" t="s">
        <v>71</v>
      </c>
      <c r="W16" t="s">
        <v>69</v>
      </c>
      <c r="X16">
        <v>117.148</v>
      </c>
      <c r="Y16" t="s">
        <v>69</v>
      </c>
      <c r="Z16" t="s">
        <v>69</v>
      </c>
      <c r="AA16">
        <v>324</v>
      </c>
      <c r="AB16" t="s">
        <v>70</v>
      </c>
      <c r="AC16" t="s">
        <v>69</v>
      </c>
      <c r="AD16" t="s">
        <v>71</v>
      </c>
      <c r="AE16" t="s">
        <v>69</v>
      </c>
      <c r="AF16">
        <v>75.066999999999993</v>
      </c>
      <c r="AG16" t="s">
        <v>69</v>
      </c>
      <c r="AH16" t="s">
        <v>69</v>
      </c>
      <c r="AI16">
        <v>326</v>
      </c>
      <c r="AJ16" t="s">
        <v>249</v>
      </c>
      <c r="AK16" t="s">
        <v>69</v>
      </c>
      <c r="AL16" t="s">
        <v>117</v>
      </c>
      <c r="AM16" t="s">
        <v>69</v>
      </c>
      <c r="AN16">
        <v>121.154</v>
      </c>
      <c r="AO16" t="s">
        <v>69</v>
      </c>
      <c r="AP16" t="s">
        <v>69</v>
      </c>
      <c r="AQ16">
        <v>329</v>
      </c>
      <c r="AR16" t="s">
        <v>69</v>
      </c>
      <c r="AS16" t="s">
        <v>69</v>
      </c>
      <c r="AT16" t="s">
        <v>152</v>
      </c>
      <c r="AU16" t="s">
        <v>69</v>
      </c>
      <c r="AV16">
        <v>181.191</v>
      </c>
      <c r="AW16" t="s">
        <v>69</v>
      </c>
      <c r="AX16" t="s">
        <v>69</v>
      </c>
      <c r="AY16">
        <v>399</v>
      </c>
      <c r="AZ16" t="s">
        <v>72</v>
      </c>
      <c r="BA16" t="s">
        <v>69</v>
      </c>
      <c r="BB16" t="s">
        <v>71</v>
      </c>
      <c r="BC16" t="s">
        <v>69</v>
      </c>
      <c r="BD16">
        <v>131.17500000000001</v>
      </c>
      <c r="BE16" t="s">
        <v>69</v>
      </c>
      <c r="BF16" t="s">
        <v>69</v>
      </c>
    </row>
    <row r="17" spans="1:58" x14ac:dyDescent="0.25">
      <c r="A17">
        <v>7</v>
      </c>
      <c r="B17" t="str">
        <f>HYPERLINK("http://www.ncbi.nlm.nih.gov/protein/XP_047692236.1","XP_047692236.1")</f>
        <v>XP_047692236.1</v>
      </c>
      <c r="C17">
        <v>56399</v>
      </c>
      <c r="D17" t="str">
        <f>HYPERLINK("http://www.ncbi.nlm.nih.gov/Taxonomy/Browser/wwwtax.cgi?mode=Info&amp;id=61388&amp;lvl=3&amp;lin=f&amp;keep=1&amp;srchmode=1&amp;unlock","61388")</f>
        <v>61388</v>
      </c>
      <c r="E17" t="s">
        <v>66</v>
      </c>
      <c r="F17" t="str">
        <f>HYPERLINK("http://www.ncbi.nlm.nih.gov/Taxonomy/Browser/wwwtax.cgi?mode=Info&amp;id=61388&amp;lvl=3&amp;lin=f&amp;keep=1&amp;srchmode=1&amp;unlock","Prionailurus viverrinus")</f>
        <v>Prionailurus viverrinus</v>
      </c>
      <c r="G17" t="s">
        <v>94</v>
      </c>
      <c r="H17" t="str">
        <f>HYPERLINK("http://www.ncbi.nlm.nih.gov/protein/XP_047692236.1","interferon regulatory factor 3-like isoform X2")</f>
        <v>interferon regulatory factor 3-like isoform X2</v>
      </c>
      <c r="I17" t="s">
        <v>260</v>
      </c>
      <c r="J17" t="s">
        <v>69</v>
      </c>
      <c r="K17">
        <v>259</v>
      </c>
      <c r="L17" t="s">
        <v>69</v>
      </c>
      <c r="M17" t="s">
        <v>69</v>
      </c>
      <c r="N17" t="s">
        <v>152</v>
      </c>
      <c r="O17" t="s">
        <v>69</v>
      </c>
      <c r="P17">
        <v>181.191</v>
      </c>
      <c r="Q17" t="s">
        <v>69</v>
      </c>
      <c r="R17" t="s">
        <v>69</v>
      </c>
      <c r="S17">
        <v>263</v>
      </c>
      <c r="T17" t="s">
        <v>115</v>
      </c>
      <c r="U17" t="s">
        <v>69</v>
      </c>
      <c r="V17" t="s">
        <v>71</v>
      </c>
      <c r="W17" t="s">
        <v>69</v>
      </c>
      <c r="X17">
        <v>117.148</v>
      </c>
      <c r="Y17" t="s">
        <v>69</v>
      </c>
      <c r="Z17" t="s">
        <v>69</v>
      </c>
      <c r="AA17">
        <v>286</v>
      </c>
      <c r="AB17" t="s">
        <v>70</v>
      </c>
      <c r="AC17" t="s">
        <v>69</v>
      </c>
      <c r="AD17" t="s">
        <v>71</v>
      </c>
      <c r="AE17" t="s">
        <v>69</v>
      </c>
      <c r="AF17">
        <v>75.066999999999993</v>
      </c>
      <c r="AG17" t="s">
        <v>69</v>
      </c>
      <c r="AH17" t="s">
        <v>69</v>
      </c>
      <c r="AI17">
        <v>288</v>
      </c>
      <c r="AJ17" t="s">
        <v>249</v>
      </c>
      <c r="AK17" t="s">
        <v>69</v>
      </c>
      <c r="AL17" t="s">
        <v>117</v>
      </c>
      <c r="AM17" t="s">
        <v>69</v>
      </c>
      <c r="AN17">
        <v>121.154</v>
      </c>
      <c r="AO17" t="s">
        <v>69</v>
      </c>
      <c r="AP17" t="s">
        <v>69</v>
      </c>
      <c r="AQ17">
        <v>291</v>
      </c>
      <c r="AR17" t="s">
        <v>69</v>
      </c>
      <c r="AS17" t="s">
        <v>69</v>
      </c>
      <c r="AT17" t="s">
        <v>152</v>
      </c>
      <c r="AU17" t="s">
        <v>69</v>
      </c>
      <c r="AV17">
        <v>181.191</v>
      </c>
      <c r="AW17" t="s">
        <v>69</v>
      </c>
      <c r="AX17" t="s">
        <v>69</v>
      </c>
      <c r="AY17">
        <v>361</v>
      </c>
      <c r="AZ17" t="s">
        <v>72</v>
      </c>
      <c r="BA17" t="s">
        <v>69</v>
      </c>
      <c r="BB17" t="s">
        <v>71</v>
      </c>
      <c r="BC17" t="s">
        <v>69</v>
      </c>
      <c r="BD17">
        <v>131.17500000000001</v>
      </c>
      <c r="BE17" t="s">
        <v>69</v>
      </c>
      <c r="BF17" t="s">
        <v>69</v>
      </c>
    </row>
    <row r="18" spans="1:58" x14ac:dyDescent="0.25">
      <c r="A18">
        <v>7</v>
      </c>
      <c r="B18" t="str">
        <f>HYPERLINK("http://www.ncbi.nlm.nih.gov/protein/XP_038512228.1","XP_038512228.1")</f>
        <v>XP_038512228.1</v>
      </c>
      <c r="C18">
        <v>136357</v>
      </c>
      <c r="D18" t="str">
        <f>HYPERLINK("http://www.ncbi.nlm.nih.gov/Taxonomy/Browser/wwwtax.cgi?mode=Info&amp;id=9615&amp;lvl=3&amp;lin=f&amp;keep=1&amp;srchmode=1&amp;unlock","9615")</f>
        <v>9615</v>
      </c>
      <c r="E18" t="s">
        <v>66</v>
      </c>
      <c r="F18" t="str">
        <f>HYPERLINK("http://www.ncbi.nlm.nih.gov/Taxonomy/Browser/wwwtax.cgi?mode=Info&amp;id=9615&amp;lvl=3&amp;lin=f&amp;keep=1&amp;srchmode=1&amp;unlock","Canis lupus familiaris")</f>
        <v>Canis lupus familiaris</v>
      </c>
      <c r="G18" t="s">
        <v>84</v>
      </c>
      <c r="H18" t="str">
        <f>HYPERLINK("http://www.ncbi.nlm.nih.gov/protein/XP_038512228.1","interferon regulatory factor 3 isoform X1")</f>
        <v>interferon regulatory factor 3 isoform X1</v>
      </c>
      <c r="I18" t="s">
        <v>260</v>
      </c>
      <c r="J18" t="s">
        <v>69</v>
      </c>
      <c r="K18">
        <v>260</v>
      </c>
      <c r="L18" t="s">
        <v>69</v>
      </c>
      <c r="M18" t="s">
        <v>69</v>
      </c>
      <c r="N18" t="s">
        <v>152</v>
      </c>
      <c r="O18" t="s">
        <v>69</v>
      </c>
      <c r="P18">
        <v>181.191</v>
      </c>
      <c r="Q18" t="s">
        <v>69</v>
      </c>
      <c r="R18" t="s">
        <v>69</v>
      </c>
      <c r="S18">
        <v>264</v>
      </c>
      <c r="T18" t="s">
        <v>115</v>
      </c>
      <c r="U18" t="s">
        <v>69</v>
      </c>
      <c r="V18" t="s">
        <v>71</v>
      </c>
      <c r="W18" t="s">
        <v>69</v>
      </c>
      <c r="X18">
        <v>117.148</v>
      </c>
      <c r="Y18" t="s">
        <v>69</v>
      </c>
      <c r="Z18" t="s">
        <v>69</v>
      </c>
      <c r="AA18">
        <v>287</v>
      </c>
      <c r="AB18" t="s">
        <v>70</v>
      </c>
      <c r="AC18" t="s">
        <v>69</v>
      </c>
      <c r="AD18" t="s">
        <v>71</v>
      </c>
      <c r="AE18" t="s">
        <v>69</v>
      </c>
      <c r="AF18">
        <v>75.066999999999993</v>
      </c>
      <c r="AG18" t="s">
        <v>69</v>
      </c>
      <c r="AH18" t="s">
        <v>69</v>
      </c>
      <c r="AI18">
        <v>289</v>
      </c>
      <c r="AJ18" t="s">
        <v>249</v>
      </c>
      <c r="AK18" t="s">
        <v>69</v>
      </c>
      <c r="AL18" t="s">
        <v>117</v>
      </c>
      <c r="AM18" t="s">
        <v>69</v>
      </c>
      <c r="AN18">
        <v>121.154</v>
      </c>
      <c r="AO18" t="s">
        <v>69</v>
      </c>
      <c r="AP18" t="s">
        <v>69</v>
      </c>
      <c r="AQ18">
        <v>292</v>
      </c>
      <c r="AR18" t="s">
        <v>69</v>
      </c>
      <c r="AS18" t="s">
        <v>69</v>
      </c>
      <c r="AT18" t="s">
        <v>152</v>
      </c>
      <c r="AU18" t="s">
        <v>69</v>
      </c>
      <c r="AV18">
        <v>181.191</v>
      </c>
      <c r="AW18" t="s">
        <v>69</v>
      </c>
      <c r="AX18" t="s">
        <v>69</v>
      </c>
      <c r="AY18">
        <v>362</v>
      </c>
      <c r="AZ18" t="s">
        <v>72</v>
      </c>
      <c r="BA18" t="s">
        <v>69</v>
      </c>
      <c r="BB18" t="s">
        <v>71</v>
      </c>
      <c r="BC18" t="s">
        <v>69</v>
      </c>
      <c r="BD18">
        <v>131.17500000000001</v>
      </c>
      <c r="BE18" t="s">
        <v>69</v>
      </c>
      <c r="BF18" t="s">
        <v>69</v>
      </c>
    </row>
    <row r="19" spans="1:58" x14ac:dyDescent="0.25">
      <c r="A19">
        <v>7</v>
      </c>
      <c r="B19" t="str">
        <f>HYPERLINK("http://www.ncbi.nlm.nih.gov/protein/XP_025869690.1","XP_025869690.1")</f>
        <v>XP_025869690.1</v>
      </c>
      <c r="C19">
        <v>38435</v>
      </c>
      <c r="D19" t="str">
        <f>HYPERLINK("http://www.ncbi.nlm.nih.gov/Taxonomy/Browser/wwwtax.cgi?mode=Info&amp;id=9627&amp;lvl=3&amp;lin=f&amp;keep=1&amp;srchmode=1&amp;unlock","9627")</f>
        <v>9627</v>
      </c>
      <c r="E19" t="s">
        <v>66</v>
      </c>
      <c r="F19" t="str">
        <f>HYPERLINK("http://www.ncbi.nlm.nih.gov/Taxonomy/Browser/wwwtax.cgi?mode=Info&amp;id=9627&amp;lvl=3&amp;lin=f&amp;keep=1&amp;srchmode=1&amp;unlock","Vulpes vulpes")</f>
        <v>Vulpes vulpes</v>
      </c>
      <c r="G19" t="s">
        <v>95</v>
      </c>
      <c r="H19" t="str">
        <f>HYPERLINK("http://www.ncbi.nlm.nih.gov/protein/XP_025869690.1","interferon regulatory factor 3 isoform X1")</f>
        <v>interferon regulatory factor 3 isoform X1</v>
      </c>
      <c r="I19" t="s">
        <v>260</v>
      </c>
      <c r="J19" t="s">
        <v>69</v>
      </c>
      <c r="K19">
        <v>261</v>
      </c>
      <c r="L19" t="s">
        <v>69</v>
      </c>
      <c r="M19" t="s">
        <v>69</v>
      </c>
      <c r="N19" t="s">
        <v>152</v>
      </c>
      <c r="O19" t="s">
        <v>69</v>
      </c>
      <c r="P19">
        <v>181.191</v>
      </c>
      <c r="Q19" t="s">
        <v>69</v>
      </c>
      <c r="R19" t="s">
        <v>69</v>
      </c>
      <c r="S19">
        <v>265</v>
      </c>
      <c r="T19" t="s">
        <v>115</v>
      </c>
      <c r="U19" t="s">
        <v>69</v>
      </c>
      <c r="V19" t="s">
        <v>71</v>
      </c>
      <c r="W19" t="s">
        <v>69</v>
      </c>
      <c r="X19">
        <v>117.148</v>
      </c>
      <c r="Y19" t="s">
        <v>69</v>
      </c>
      <c r="Z19" t="s">
        <v>69</v>
      </c>
      <c r="AA19">
        <v>288</v>
      </c>
      <c r="AB19" t="s">
        <v>70</v>
      </c>
      <c r="AC19" t="s">
        <v>69</v>
      </c>
      <c r="AD19" t="s">
        <v>71</v>
      </c>
      <c r="AE19" t="s">
        <v>69</v>
      </c>
      <c r="AF19">
        <v>75.066999999999993</v>
      </c>
      <c r="AG19" t="s">
        <v>69</v>
      </c>
      <c r="AH19" t="s">
        <v>69</v>
      </c>
      <c r="AI19">
        <v>290</v>
      </c>
      <c r="AJ19" t="s">
        <v>249</v>
      </c>
      <c r="AK19" t="s">
        <v>69</v>
      </c>
      <c r="AL19" t="s">
        <v>117</v>
      </c>
      <c r="AM19" t="s">
        <v>69</v>
      </c>
      <c r="AN19">
        <v>121.154</v>
      </c>
      <c r="AO19" t="s">
        <v>69</v>
      </c>
      <c r="AP19" t="s">
        <v>69</v>
      </c>
      <c r="AQ19">
        <v>293</v>
      </c>
      <c r="AR19" t="s">
        <v>69</v>
      </c>
      <c r="AS19" t="s">
        <v>69</v>
      </c>
      <c r="AT19" t="s">
        <v>152</v>
      </c>
      <c r="AU19" t="s">
        <v>69</v>
      </c>
      <c r="AV19">
        <v>181.191</v>
      </c>
      <c r="AW19" t="s">
        <v>69</v>
      </c>
      <c r="AX19" t="s">
        <v>69</v>
      </c>
      <c r="AY19">
        <v>363</v>
      </c>
      <c r="AZ19" t="s">
        <v>72</v>
      </c>
      <c r="BA19" t="s">
        <v>69</v>
      </c>
      <c r="BB19" t="s">
        <v>71</v>
      </c>
      <c r="BC19" t="s">
        <v>69</v>
      </c>
      <c r="BD19">
        <v>131.17500000000001</v>
      </c>
      <c r="BE19" t="s">
        <v>69</v>
      </c>
      <c r="BF19" t="s">
        <v>69</v>
      </c>
    </row>
    <row r="20" spans="1:58" x14ac:dyDescent="0.25">
      <c r="A20">
        <v>7</v>
      </c>
      <c r="B20" t="str">
        <f>HYPERLINK("http://www.ncbi.nlm.nih.gov/protein/XP_012919390.1","XP_012919390.1")</f>
        <v>XP_012919390.1</v>
      </c>
      <c r="C20">
        <v>58003</v>
      </c>
      <c r="D20" t="str">
        <f>HYPERLINK("http://www.ncbi.nlm.nih.gov/Taxonomy/Browser/wwwtax.cgi?mode=Info&amp;id=9669&amp;lvl=3&amp;lin=f&amp;keep=1&amp;srchmode=1&amp;unlock","9669")</f>
        <v>9669</v>
      </c>
      <c r="E20" t="s">
        <v>66</v>
      </c>
      <c r="F20" t="str">
        <f>HYPERLINK("http://www.ncbi.nlm.nih.gov/Taxonomy/Browser/wwwtax.cgi?mode=Info&amp;id=9669&amp;lvl=3&amp;lin=f&amp;keep=1&amp;srchmode=1&amp;unlock","Mustela putorius furo")</f>
        <v>Mustela putorius furo</v>
      </c>
      <c r="G20" t="s">
        <v>98</v>
      </c>
      <c r="H20" t="str">
        <f>HYPERLINK("http://www.ncbi.nlm.nih.gov/protein/XP_012919390.1","interferon regulatory factor 3 isoform X1")</f>
        <v>interferon regulatory factor 3 isoform X1</v>
      </c>
      <c r="I20" t="s">
        <v>260</v>
      </c>
      <c r="J20" t="s">
        <v>69</v>
      </c>
      <c r="K20">
        <v>260</v>
      </c>
      <c r="L20" t="s">
        <v>69</v>
      </c>
      <c r="M20" t="s">
        <v>69</v>
      </c>
      <c r="N20" t="s">
        <v>152</v>
      </c>
      <c r="O20" t="s">
        <v>69</v>
      </c>
      <c r="P20">
        <v>181.191</v>
      </c>
      <c r="Q20" t="s">
        <v>69</v>
      </c>
      <c r="R20" t="s">
        <v>69</v>
      </c>
      <c r="S20">
        <v>264</v>
      </c>
      <c r="T20" t="s">
        <v>115</v>
      </c>
      <c r="U20" t="s">
        <v>69</v>
      </c>
      <c r="V20" t="s">
        <v>71</v>
      </c>
      <c r="W20" t="s">
        <v>69</v>
      </c>
      <c r="X20">
        <v>117.148</v>
      </c>
      <c r="Y20" t="s">
        <v>69</v>
      </c>
      <c r="Z20" t="s">
        <v>69</v>
      </c>
      <c r="AA20">
        <v>287</v>
      </c>
      <c r="AB20" t="s">
        <v>70</v>
      </c>
      <c r="AC20" t="s">
        <v>69</v>
      </c>
      <c r="AD20" t="s">
        <v>71</v>
      </c>
      <c r="AE20" t="s">
        <v>69</v>
      </c>
      <c r="AF20">
        <v>75.066999999999993</v>
      </c>
      <c r="AG20" t="s">
        <v>69</v>
      </c>
      <c r="AH20" t="s">
        <v>69</v>
      </c>
      <c r="AI20">
        <v>289</v>
      </c>
      <c r="AJ20" t="s">
        <v>249</v>
      </c>
      <c r="AK20" t="s">
        <v>69</v>
      </c>
      <c r="AL20" t="s">
        <v>117</v>
      </c>
      <c r="AM20" t="s">
        <v>69</v>
      </c>
      <c r="AN20">
        <v>121.154</v>
      </c>
      <c r="AO20" t="s">
        <v>69</v>
      </c>
      <c r="AP20" t="s">
        <v>69</v>
      </c>
      <c r="AQ20">
        <v>292</v>
      </c>
      <c r="AR20" t="s">
        <v>69</v>
      </c>
      <c r="AS20" t="s">
        <v>69</v>
      </c>
      <c r="AT20" t="s">
        <v>152</v>
      </c>
      <c r="AU20" t="s">
        <v>69</v>
      </c>
      <c r="AV20">
        <v>181.191</v>
      </c>
      <c r="AW20" t="s">
        <v>69</v>
      </c>
      <c r="AX20" t="s">
        <v>69</v>
      </c>
      <c r="AY20">
        <v>362</v>
      </c>
      <c r="AZ20" t="s">
        <v>72</v>
      </c>
      <c r="BA20" t="s">
        <v>69</v>
      </c>
      <c r="BB20" t="s">
        <v>71</v>
      </c>
      <c r="BC20" t="s">
        <v>69</v>
      </c>
      <c r="BD20">
        <v>131.17500000000001</v>
      </c>
      <c r="BE20" t="s">
        <v>69</v>
      </c>
      <c r="BF20" t="s">
        <v>69</v>
      </c>
    </row>
    <row r="21" spans="1:58" x14ac:dyDescent="0.25">
      <c r="A21">
        <v>7</v>
      </c>
      <c r="B21" t="str">
        <f>HYPERLINK("http://www.ncbi.nlm.nih.gov/protein/ABY26589.1","ABY26589.1")</f>
        <v>ABY26589.1</v>
      </c>
      <c r="C21">
        <v>86952</v>
      </c>
      <c r="D21" t="str">
        <f>HYPERLINK("http://www.ncbi.nlm.nih.gov/Taxonomy/Browser/wwwtax.cgi?mode=Info&amp;id=9823&amp;lvl=3&amp;lin=f&amp;keep=1&amp;srchmode=1&amp;unlock","9823")</f>
        <v>9823</v>
      </c>
      <c r="E21" t="s">
        <v>66</v>
      </c>
      <c r="F21" t="str">
        <f>HYPERLINK("http://www.ncbi.nlm.nih.gov/Taxonomy/Browser/wwwtax.cgi?mode=Info&amp;id=9823&amp;lvl=3&amp;lin=f&amp;keep=1&amp;srchmode=1&amp;unlock","Sus scrofa")</f>
        <v>Sus scrofa</v>
      </c>
      <c r="G21" t="s">
        <v>85</v>
      </c>
      <c r="H21" t="str">
        <f>HYPERLINK("http://www.ncbi.nlm.nih.gov/protein/ABY26589.1","interferon regulatory factor 3")</f>
        <v>interferon regulatory factor 3</v>
      </c>
      <c r="I21" t="s">
        <v>260</v>
      </c>
      <c r="J21" t="s">
        <v>69</v>
      </c>
      <c r="K21">
        <v>258</v>
      </c>
      <c r="L21" t="s">
        <v>69</v>
      </c>
      <c r="M21" t="s">
        <v>69</v>
      </c>
      <c r="N21" t="s">
        <v>152</v>
      </c>
      <c r="O21" t="s">
        <v>69</v>
      </c>
      <c r="P21">
        <v>181.191</v>
      </c>
      <c r="Q21" t="s">
        <v>69</v>
      </c>
      <c r="R21" t="s">
        <v>69</v>
      </c>
      <c r="S21">
        <v>262</v>
      </c>
      <c r="T21" t="s">
        <v>115</v>
      </c>
      <c r="U21" t="s">
        <v>69</v>
      </c>
      <c r="V21" t="s">
        <v>71</v>
      </c>
      <c r="W21" t="s">
        <v>69</v>
      </c>
      <c r="X21">
        <v>117.148</v>
      </c>
      <c r="Y21" t="s">
        <v>69</v>
      </c>
      <c r="Z21" t="s">
        <v>69</v>
      </c>
      <c r="AA21">
        <v>285</v>
      </c>
      <c r="AB21" t="s">
        <v>70</v>
      </c>
      <c r="AC21" t="s">
        <v>69</v>
      </c>
      <c r="AD21" t="s">
        <v>71</v>
      </c>
      <c r="AE21" t="s">
        <v>69</v>
      </c>
      <c r="AF21">
        <v>75.066999999999993</v>
      </c>
      <c r="AG21" t="s">
        <v>69</v>
      </c>
      <c r="AH21" t="s">
        <v>69</v>
      </c>
      <c r="AI21">
        <v>287</v>
      </c>
      <c r="AJ21" t="s">
        <v>249</v>
      </c>
      <c r="AK21" t="s">
        <v>69</v>
      </c>
      <c r="AL21" t="s">
        <v>117</v>
      </c>
      <c r="AM21" t="s">
        <v>69</v>
      </c>
      <c r="AN21">
        <v>121.154</v>
      </c>
      <c r="AO21" t="s">
        <v>69</v>
      </c>
      <c r="AP21" t="s">
        <v>69</v>
      </c>
      <c r="AQ21">
        <v>290</v>
      </c>
      <c r="AR21" t="s">
        <v>69</v>
      </c>
      <c r="AS21" t="s">
        <v>69</v>
      </c>
      <c r="AT21" t="s">
        <v>152</v>
      </c>
      <c r="AU21" t="s">
        <v>69</v>
      </c>
      <c r="AV21">
        <v>181.191</v>
      </c>
      <c r="AW21" t="s">
        <v>69</v>
      </c>
      <c r="AX21" t="s">
        <v>69</v>
      </c>
      <c r="AY21">
        <v>360</v>
      </c>
      <c r="AZ21" t="s">
        <v>72</v>
      </c>
      <c r="BA21" t="s">
        <v>69</v>
      </c>
      <c r="BB21" t="s">
        <v>71</v>
      </c>
      <c r="BC21" t="s">
        <v>69</v>
      </c>
      <c r="BD21">
        <v>131.17500000000001</v>
      </c>
      <c r="BE21" t="s">
        <v>69</v>
      </c>
      <c r="BF21" t="s">
        <v>69</v>
      </c>
    </row>
    <row r="22" spans="1:58" x14ac:dyDescent="0.25">
      <c r="A22">
        <v>7</v>
      </c>
      <c r="B22" t="str">
        <f>HYPERLINK("http://www.ncbi.nlm.nih.gov/protein/XP_044112790.1","XP_044112790.1")</f>
        <v>XP_044112790.1</v>
      </c>
      <c r="C22">
        <v>44640</v>
      </c>
      <c r="D22" t="str">
        <f>HYPERLINK("http://www.ncbi.nlm.nih.gov/Taxonomy/Browser/wwwtax.cgi?mode=Info&amp;id=452646&amp;lvl=3&amp;lin=f&amp;keep=1&amp;srchmode=1&amp;unlock","452646")</f>
        <v>452646</v>
      </c>
      <c r="E22" t="s">
        <v>66</v>
      </c>
      <c r="F22" t="str">
        <f>HYPERLINK("http://www.ncbi.nlm.nih.gov/Taxonomy/Browser/wwwtax.cgi?mode=Info&amp;id=452646&amp;lvl=3&amp;lin=f&amp;keep=1&amp;srchmode=1&amp;unlock","Neogale vison")</f>
        <v>Neogale vison</v>
      </c>
      <c r="G22" t="s">
        <v>96</v>
      </c>
      <c r="H22" t="str">
        <f>HYPERLINK("http://www.ncbi.nlm.nih.gov/protein/XP_044112790.1","interferon regulatory factor 3 isoform X4")</f>
        <v>interferon regulatory factor 3 isoform X4</v>
      </c>
      <c r="I22" t="s">
        <v>260</v>
      </c>
      <c r="J22" t="s">
        <v>69</v>
      </c>
      <c r="K22">
        <v>260</v>
      </c>
      <c r="L22" t="s">
        <v>69</v>
      </c>
      <c r="M22" t="s">
        <v>69</v>
      </c>
      <c r="N22" t="s">
        <v>152</v>
      </c>
      <c r="O22" t="s">
        <v>69</v>
      </c>
      <c r="P22">
        <v>181.191</v>
      </c>
      <c r="Q22" t="s">
        <v>69</v>
      </c>
      <c r="R22" t="s">
        <v>69</v>
      </c>
      <c r="S22">
        <v>264</v>
      </c>
      <c r="T22" t="s">
        <v>115</v>
      </c>
      <c r="U22" t="s">
        <v>69</v>
      </c>
      <c r="V22" t="s">
        <v>71</v>
      </c>
      <c r="W22" t="s">
        <v>69</v>
      </c>
      <c r="X22">
        <v>117.148</v>
      </c>
      <c r="Y22" t="s">
        <v>69</v>
      </c>
      <c r="Z22" t="s">
        <v>69</v>
      </c>
      <c r="AA22">
        <v>287</v>
      </c>
      <c r="AB22" t="s">
        <v>70</v>
      </c>
      <c r="AC22" t="s">
        <v>69</v>
      </c>
      <c r="AD22" t="s">
        <v>71</v>
      </c>
      <c r="AE22" t="s">
        <v>69</v>
      </c>
      <c r="AF22">
        <v>75.066999999999993</v>
      </c>
      <c r="AG22" t="s">
        <v>69</v>
      </c>
      <c r="AH22" t="s">
        <v>69</v>
      </c>
      <c r="AI22">
        <v>289</v>
      </c>
      <c r="AJ22" t="s">
        <v>249</v>
      </c>
      <c r="AK22" t="s">
        <v>69</v>
      </c>
      <c r="AL22" t="s">
        <v>117</v>
      </c>
      <c r="AM22" t="s">
        <v>69</v>
      </c>
      <c r="AN22">
        <v>121.154</v>
      </c>
      <c r="AO22" t="s">
        <v>69</v>
      </c>
      <c r="AP22" t="s">
        <v>69</v>
      </c>
      <c r="AQ22">
        <v>292</v>
      </c>
      <c r="AR22" t="s">
        <v>69</v>
      </c>
      <c r="AS22" t="s">
        <v>69</v>
      </c>
      <c r="AT22" t="s">
        <v>152</v>
      </c>
      <c r="AU22" t="s">
        <v>69</v>
      </c>
      <c r="AV22">
        <v>181.191</v>
      </c>
      <c r="AW22" t="s">
        <v>69</v>
      </c>
      <c r="AX22" t="s">
        <v>69</v>
      </c>
      <c r="AY22">
        <v>362</v>
      </c>
      <c r="AZ22" t="s">
        <v>72</v>
      </c>
      <c r="BA22" t="s">
        <v>69</v>
      </c>
      <c r="BB22" t="s">
        <v>71</v>
      </c>
      <c r="BC22" t="s">
        <v>69</v>
      </c>
      <c r="BD22">
        <v>131.17500000000001</v>
      </c>
      <c r="BE22" t="s">
        <v>69</v>
      </c>
      <c r="BF22" t="s">
        <v>69</v>
      </c>
    </row>
    <row r="23" spans="1:58" x14ac:dyDescent="0.25">
      <c r="A23">
        <v>7</v>
      </c>
      <c r="B23" t="str">
        <f>HYPERLINK("http://www.ncbi.nlm.nih.gov/protein/XP_045844373.1","XP_045844373.1")</f>
        <v>XP_045844373.1</v>
      </c>
      <c r="C23">
        <v>50752</v>
      </c>
      <c r="D23" t="str">
        <f>HYPERLINK("http://www.ncbi.nlm.nih.gov/Taxonomy/Browser/wwwtax.cgi?mode=Info&amp;id=9662&amp;lvl=3&amp;lin=f&amp;keep=1&amp;srchmode=1&amp;unlock","9662")</f>
        <v>9662</v>
      </c>
      <c r="E23" t="s">
        <v>66</v>
      </c>
      <c r="F23" t="str">
        <f>HYPERLINK("http://www.ncbi.nlm.nih.gov/Taxonomy/Browser/wwwtax.cgi?mode=Info&amp;id=9662&amp;lvl=3&amp;lin=f&amp;keep=1&amp;srchmode=1&amp;unlock","Meles meles")</f>
        <v>Meles meles</v>
      </c>
      <c r="G23" t="s">
        <v>99</v>
      </c>
      <c r="H23" t="str">
        <f>HYPERLINK("http://www.ncbi.nlm.nih.gov/protein/XP_045844373.1","interferon regulatory factor 3 isoform X2")</f>
        <v>interferon regulatory factor 3 isoform X2</v>
      </c>
      <c r="I23" t="s">
        <v>260</v>
      </c>
      <c r="J23" t="s">
        <v>153</v>
      </c>
      <c r="K23">
        <v>260</v>
      </c>
      <c r="L23" t="s">
        <v>69</v>
      </c>
      <c r="M23" t="s">
        <v>69</v>
      </c>
      <c r="N23" t="s">
        <v>152</v>
      </c>
      <c r="O23" t="s">
        <v>69</v>
      </c>
      <c r="P23">
        <v>181.191</v>
      </c>
      <c r="Q23" t="s">
        <v>69</v>
      </c>
      <c r="R23" t="s">
        <v>69</v>
      </c>
      <c r="S23">
        <v>264</v>
      </c>
      <c r="T23" t="s">
        <v>115</v>
      </c>
      <c r="U23" t="s">
        <v>69</v>
      </c>
      <c r="V23" t="s">
        <v>71</v>
      </c>
      <c r="W23" t="s">
        <v>69</v>
      </c>
      <c r="X23">
        <v>117.148</v>
      </c>
      <c r="Y23" t="s">
        <v>69</v>
      </c>
      <c r="Z23" t="s">
        <v>69</v>
      </c>
      <c r="AA23">
        <v>287</v>
      </c>
      <c r="AB23" t="s">
        <v>70</v>
      </c>
      <c r="AC23" t="s">
        <v>69</v>
      </c>
      <c r="AD23" t="s">
        <v>71</v>
      </c>
      <c r="AE23" t="s">
        <v>69</v>
      </c>
      <c r="AF23">
        <v>75.066999999999993</v>
      </c>
      <c r="AG23" t="s">
        <v>69</v>
      </c>
      <c r="AH23" t="s">
        <v>69</v>
      </c>
      <c r="AI23">
        <v>289</v>
      </c>
      <c r="AJ23" t="s">
        <v>249</v>
      </c>
      <c r="AK23" t="s">
        <v>69</v>
      </c>
      <c r="AL23" t="s">
        <v>117</v>
      </c>
      <c r="AM23" t="s">
        <v>69</v>
      </c>
      <c r="AN23">
        <v>121.154</v>
      </c>
      <c r="AO23" t="s">
        <v>69</v>
      </c>
      <c r="AP23" t="s">
        <v>69</v>
      </c>
      <c r="AQ23">
        <v>292</v>
      </c>
      <c r="AR23" t="s">
        <v>69</v>
      </c>
      <c r="AS23" t="s">
        <v>69</v>
      </c>
      <c r="AT23" t="s">
        <v>152</v>
      </c>
      <c r="AU23" t="s">
        <v>69</v>
      </c>
      <c r="AV23">
        <v>181.191</v>
      </c>
      <c r="AW23" t="s">
        <v>69</v>
      </c>
      <c r="AX23" t="s">
        <v>69</v>
      </c>
      <c r="AY23">
        <v>362</v>
      </c>
      <c r="AZ23" t="s">
        <v>151</v>
      </c>
      <c r="BA23" t="s">
        <v>153</v>
      </c>
      <c r="BB23" t="s">
        <v>152</v>
      </c>
      <c r="BC23" t="s">
        <v>153</v>
      </c>
      <c r="BD23">
        <v>165.19200000000001</v>
      </c>
      <c r="BE23" t="s">
        <v>153</v>
      </c>
      <c r="BF23" t="s">
        <v>153</v>
      </c>
    </row>
    <row r="24" spans="1:58" x14ac:dyDescent="0.25">
      <c r="A24">
        <v>7</v>
      </c>
      <c r="B24" t="str">
        <f>HYPERLINK("http://www.ncbi.nlm.nih.gov/protein/XP_017521112.1","XP_017521112.1")</f>
        <v>XP_017521112.1</v>
      </c>
      <c r="C24">
        <v>56064</v>
      </c>
      <c r="D24" t="str">
        <f>HYPERLINK("http://www.ncbi.nlm.nih.gov/Taxonomy/Browser/wwwtax.cgi?mode=Info&amp;id=9974&amp;lvl=3&amp;lin=f&amp;keep=1&amp;srchmode=1&amp;unlock","9974")</f>
        <v>9974</v>
      </c>
      <c r="E24" t="s">
        <v>66</v>
      </c>
      <c r="F24" t="str">
        <f>HYPERLINK("http://www.ncbi.nlm.nih.gov/Taxonomy/Browser/wwwtax.cgi?mode=Info&amp;id=9974&amp;lvl=3&amp;lin=f&amp;keep=1&amp;srchmode=1&amp;unlock","Manis javanica")</f>
        <v>Manis javanica</v>
      </c>
      <c r="G24" t="s">
        <v>100</v>
      </c>
      <c r="H24" t="str">
        <f>HYPERLINK("http://www.ncbi.nlm.nih.gov/protein/XP_017521112.1","interferon regulatory factor 3 isoform X1")</f>
        <v>interferon regulatory factor 3 isoform X1</v>
      </c>
      <c r="I24" t="s">
        <v>260</v>
      </c>
      <c r="J24" t="s">
        <v>69</v>
      </c>
      <c r="K24">
        <v>312</v>
      </c>
      <c r="L24" t="s">
        <v>69</v>
      </c>
      <c r="M24" t="s">
        <v>69</v>
      </c>
      <c r="N24" t="s">
        <v>152</v>
      </c>
      <c r="O24" t="s">
        <v>69</v>
      </c>
      <c r="P24">
        <v>181.191</v>
      </c>
      <c r="Q24" t="s">
        <v>69</v>
      </c>
      <c r="R24" t="s">
        <v>69</v>
      </c>
      <c r="S24">
        <v>316</v>
      </c>
      <c r="T24" t="s">
        <v>115</v>
      </c>
      <c r="U24" t="s">
        <v>69</v>
      </c>
      <c r="V24" t="s">
        <v>71</v>
      </c>
      <c r="W24" t="s">
        <v>69</v>
      </c>
      <c r="X24">
        <v>117.148</v>
      </c>
      <c r="Y24" t="s">
        <v>69</v>
      </c>
      <c r="Z24" t="s">
        <v>69</v>
      </c>
      <c r="AA24">
        <v>339</v>
      </c>
      <c r="AB24" t="s">
        <v>70</v>
      </c>
      <c r="AC24" t="s">
        <v>69</v>
      </c>
      <c r="AD24" t="s">
        <v>71</v>
      </c>
      <c r="AE24" t="s">
        <v>69</v>
      </c>
      <c r="AF24">
        <v>75.066999999999993</v>
      </c>
      <c r="AG24" t="s">
        <v>69</v>
      </c>
      <c r="AH24" t="s">
        <v>69</v>
      </c>
      <c r="AI24">
        <v>341</v>
      </c>
      <c r="AJ24" t="s">
        <v>249</v>
      </c>
      <c r="AK24" t="s">
        <v>69</v>
      </c>
      <c r="AL24" t="s">
        <v>117</v>
      </c>
      <c r="AM24" t="s">
        <v>69</v>
      </c>
      <c r="AN24">
        <v>121.154</v>
      </c>
      <c r="AO24" t="s">
        <v>69</v>
      </c>
      <c r="AP24" t="s">
        <v>69</v>
      </c>
      <c r="AQ24">
        <v>344</v>
      </c>
      <c r="AR24" t="s">
        <v>69</v>
      </c>
      <c r="AS24" t="s">
        <v>69</v>
      </c>
      <c r="AT24" t="s">
        <v>152</v>
      </c>
      <c r="AU24" t="s">
        <v>69</v>
      </c>
      <c r="AV24">
        <v>181.191</v>
      </c>
      <c r="AW24" t="s">
        <v>69</v>
      </c>
      <c r="AX24" t="s">
        <v>69</v>
      </c>
      <c r="AY24">
        <v>414</v>
      </c>
      <c r="AZ24" t="s">
        <v>72</v>
      </c>
      <c r="BA24" t="s">
        <v>69</v>
      </c>
      <c r="BB24" t="s">
        <v>71</v>
      </c>
      <c r="BC24" t="s">
        <v>69</v>
      </c>
      <c r="BD24">
        <v>131.17500000000001</v>
      </c>
      <c r="BE24" t="s">
        <v>69</v>
      </c>
      <c r="BF24" t="s">
        <v>69</v>
      </c>
    </row>
    <row r="25" spans="1:58" x14ac:dyDescent="0.25">
      <c r="A25">
        <v>7</v>
      </c>
      <c r="B25" t="str">
        <f>HYPERLINK("http://www.ncbi.nlm.nih.gov/protein/XP_020741254.1","XP_020741254.1")</f>
        <v>XP_020741254.1</v>
      </c>
      <c r="C25">
        <v>48218</v>
      </c>
      <c r="D25" t="str">
        <f>HYPERLINK("http://www.ncbi.nlm.nih.gov/Taxonomy/Browser/wwwtax.cgi?mode=Info&amp;id=9880&amp;lvl=3&amp;lin=f&amp;keep=1&amp;srchmode=1&amp;unlock","9880")</f>
        <v>9880</v>
      </c>
      <c r="E25" t="s">
        <v>66</v>
      </c>
      <c r="F25" t="str">
        <f>HYPERLINK("http://www.ncbi.nlm.nih.gov/Taxonomy/Browser/wwwtax.cgi?mode=Info&amp;id=9880&amp;lvl=3&amp;lin=f&amp;keep=1&amp;srchmode=1&amp;unlock","Odocoileus virginianus texanus")</f>
        <v>Odocoileus virginianus texanus</v>
      </c>
      <c r="G25" t="s">
        <v>81</v>
      </c>
      <c r="H25" t="str">
        <f>HYPERLINK("http://www.ncbi.nlm.nih.gov/protein/XP_020741254.1","interferon regulatory factor 3")</f>
        <v>interferon regulatory factor 3</v>
      </c>
      <c r="I25" t="s">
        <v>260</v>
      </c>
      <c r="J25" t="s">
        <v>69</v>
      </c>
      <c r="K25">
        <v>258</v>
      </c>
      <c r="L25" t="s">
        <v>69</v>
      </c>
      <c r="M25" t="s">
        <v>69</v>
      </c>
      <c r="N25" t="s">
        <v>152</v>
      </c>
      <c r="O25" t="s">
        <v>69</v>
      </c>
      <c r="P25">
        <v>181.191</v>
      </c>
      <c r="Q25" t="s">
        <v>69</v>
      </c>
      <c r="R25" t="s">
        <v>69</v>
      </c>
      <c r="S25">
        <v>262</v>
      </c>
      <c r="T25" t="s">
        <v>115</v>
      </c>
      <c r="U25" t="s">
        <v>69</v>
      </c>
      <c r="V25" t="s">
        <v>71</v>
      </c>
      <c r="W25" t="s">
        <v>69</v>
      </c>
      <c r="X25">
        <v>117.148</v>
      </c>
      <c r="Y25" t="s">
        <v>69</v>
      </c>
      <c r="Z25" t="s">
        <v>69</v>
      </c>
      <c r="AA25">
        <v>285</v>
      </c>
      <c r="AB25" t="s">
        <v>70</v>
      </c>
      <c r="AC25" t="s">
        <v>69</v>
      </c>
      <c r="AD25" t="s">
        <v>71</v>
      </c>
      <c r="AE25" t="s">
        <v>69</v>
      </c>
      <c r="AF25">
        <v>75.066999999999993</v>
      </c>
      <c r="AG25" t="s">
        <v>69</v>
      </c>
      <c r="AH25" t="s">
        <v>69</v>
      </c>
      <c r="AI25">
        <v>287</v>
      </c>
      <c r="AJ25" t="s">
        <v>249</v>
      </c>
      <c r="AK25" t="s">
        <v>69</v>
      </c>
      <c r="AL25" t="s">
        <v>117</v>
      </c>
      <c r="AM25" t="s">
        <v>69</v>
      </c>
      <c r="AN25">
        <v>121.154</v>
      </c>
      <c r="AO25" t="s">
        <v>69</v>
      </c>
      <c r="AP25" t="s">
        <v>69</v>
      </c>
      <c r="AQ25">
        <v>290</v>
      </c>
      <c r="AR25" t="s">
        <v>69</v>
      </c>
      <c r="AS25" t="s">
        <v>69</v>
      </c>
      <c r="AT25" t="s">
        <v>152</v>
      </c>
      <c r="AU25" t="s">
        <v>69</v>
      </c>
      <c r="AV25">
        <v>181.191</v>
      </c>
      <c r="AW25" t="s">
        <v>69</v>
      </c>
      <c r="AX25" t="s">
        <v>69</v>
      </c>
      <c r="AY25">
        <v>360</v>
      </c>
      <c r="AZ25" t="s">
        <v>72</v>
      </c>
      <c r="BA25" t="s">
        <v>69</v>
      </c>
      <c r="BB25" t="s">
        <v>71</v>
      </c>
      <c r="BC25" t="s">
        <v>69</v>
      </c>
      <c r="BD25">
        <v>131.17500000000001</v>
      </c>
      <c r="BE25" t="s">
        <v>69</v>
      </c>
      <c r="BF25" t="s">
        <v>69</v>
      </c>
    </row>
    <row r="26" spans="1:58" x14ac:dyDescent="0.25">
      <c r="A26">
        <v>7</v>
      </c>
      <c r="B26" t="str">
        <f>HYPERLINK("http://www.ncbi.nlm.nih.gov/protein/AAZ38325.1","AAZ38325.1")</f>
        <v>AAZ38325.1</v>
      </c>
      <c r="C26">
        <v>136186</v>
      </c>
      <c r="D26" t="str">
        <f>HYPERLINK("http://www.ncbi.nlm.nih.gov/Taxonomy/Browser/wwwtax.cgi?mode=Info&amp;id=9913&amp;lvl=3&amp;lin=f&amp;keep=1&amp;srchmode=1&amp;unlock","9913")</f>
        <v>9913</v>
      </c>
      <c r="E26" t="s">
        <v>66</v>
      </c>
      <c r="F26" t="str">
        <f>HYPERLINK("http://www.ncbi.nlm.nih.gov/Taxonomy/Browser/wwwtax.cgi?mode=Info&amp;id=9913&amp;lvl=3&amp;lin=f&amp;keep=1&amp;srchmode=1&amp;unlock","Bos taurus")</f>
        <v>Bos taurus</v>
      </c>
      <c r="G26" t="s">
        <v>82</v>
      </c>
      <c r="H26" t="str">
        <f>HYPERLINK("http://www.ncbi.nlm.nih.gov/protein/AAZ38325.1","interferon regulatory factor 3")</f>
        <v>interferon regulatory factor 3</v>
      </c>
      <c r="I26" t="s">
        <v>260</v>
      </c>
      <c r="J26" t="s">
        <v>69</v>
      </c>
      <c r="K26">
        <v>256</v>
      </c>
      <c r="L26" t="s">
        <v>69</v>
      </c>
      <c r="M26" t="s">
        <v>69</v>
      </c>
      <c r="N26" t="s">
        <v>152</v>
      </c>
      <c r="O26" t="s">
        <v>69</v>
      </c>
      <c r="P26">
        <v>181.191</v>
      </c>
      <c r="Q26" t="s">
        <v>69</v>
      </c>
      <c r="R26" t="s">
        <v>69</v>
      </c>
      <c r="S26">
        <v>260</v>
      </c>
      <c r="T26" t="s">
        <v>115</v>
      </c>
      <c r="U26" t="s">
        <v>69</v>
      </c>
      <c r="V26" t="s">
        <v>71</v>
      </c>
      <c r="W26" t="s">
        <v>69</v>
      </c>
      <c r="X26">
        <v>117.148</v>
      </c>
      <c r="Y26" t="s">
        <v>69</v>
      </c>
      <c r="Z26" t="s">
        <v>69</v>
      </c>
      <c r="AA26">
        <v>283</v>
      </c>
      <c r="AB26" t="s">
        <v>70</v>
      </c>
      <c r="AC26" t="s">
        <v>69</v>
      </c>
      <c r="AD26" t="s">
        <v>71</v>
      </c>
      <c r="AE26" t="s">
        <v>69</v>
      </c>
      <c r="AF26">
        <v>75.066999999999993</v>
      </c>
      <c r="AG26" t="s">
        <v>69</v>
      </c>
      <c r="AH26" t="s">
        <v>69</v>
      </c>
      <c r="AI26">
        <v>285</v>
      </c>
      <c r="AJ26" t="s">
        <v>249</v>
      </c>
      <c r="AK26" t="s">
        <v>69</v>
      </c>
      <c r="AL26" t="s">
        <v>117</v>
      </c>
      <c r="AM26" t="s">
        <v>69</v>
      </c>
      <c r="AN26">
        <v>121.154</v>
      </c>
      <c r="AO26" t="s">
        <v>69</v>
      </c>
      <c r="AP26" t="s">
        <v>69</v>
      </c>
      <c r="AQ26">
        <v>288</v>
      </c>
      <c r="AR26" t="s">
        <v>69</v>
      </c>
      <c r="AS26" t="s">
        <v>69</v>
      </c>
      <c r="AT26" t="s">
        <v>152</v>
      </c>
      <c r="AU26" t="s">
        <v>69</v>
      </c>
      <c r="AV26">
        <v>181.191</v>
      </c>
      <c r="AW26" t="s">
        <v>69</v>
      </c>
      <c r="AX26" t="s">
        <v>69</v>
      </c>
      <c r="AY26">
        <v>358</v>
      </c>
      <c r="AZ26" t="s">
        <v>72</v>
      </c>
      <c r="BA26" t="s">
        <v>69</v>
      </c>
      <c r="BB26" t="s">
        <v>71</v>
      </c>
      <c r="BC26" t="s">
        <v>69</v>
      </c>
      <c r="BD26">
        <v>131.17500000000001</v>
      </c>
      <c r="BE26" t="s">
        <v>69</v>
      </c>
      <c r="BF26" t="s">
        <v>69</v>
      </c>
    </row>
    <row r="27" spans="1:58" x14ac:dyDescent="0.25">
      <c r="A27">
        <v>7</v>
      </c>
      <c r="B27" t="str">
        <f>HYPERLINK("http://www.ncbi.nlm.nih.gov/protein/XP_042130580.1","XP_042130580.1")</f>
        <v>XP_042130580.1</v>
      </c>
      <c r="C27">
        <v>54287</v>
      </c>
      <c r="D27" t="str">
        <f>HYPERLINK("http://www.ncbi.nlm.nih.gov/Taxonomy/Browser/wwwtax.cgi?mode=Info&amp;id=230844&amp;lvl=3&amp;lin=f&amp;keep=1&amp;srchmode=1&amp;unlock","230844")</f>
        <v>230844</v>
      </c>
      <c r="E27" t="s">
        <v>66</v>
      </c>
      <c r="F27" t="str">
        <f>HYPERLINK("http://www.ncbi.nlm.nih.gov/Taxonomy/Browser/wwwtax.cgi?mode=Info&amp;id=230844&amp;lvl=3&amp;lin=f&amp;keep=1&amp;srchmode=1&amp;unlock","Peromyscus maniculatus bairdii")</f>
        <v>Peromyscus maniculatus bairdii</v>
      </c>
      <c r="G27" t="s">
        <v>88</v>
      </c>
      <c r="H27" t="str">
        <f>HYPERLINK("http://www.ncbi.nlm.nih.gov/protein/XP_042130580.1","interferon regulatory factor 3 isoform X3")</f>
        <v>interferon regulatory factor 3 isoform X3</v>
      </c>
      <c r="I27" t="s">
        <v>260</v>
      </c>
      <c r="J27" t="s">
        <v>69</v>
      </c>
      <c r="K27">
        <v>254</v>
      </c>
      <c r="L27" t="s">
        <v>69</v>
      </c>
      <c r="M27" t="s">
        <v>69</v>
      </c>
      <c r="N27" t="s">
        <v>152</v>
      </c>
      <c r="O27" t="s">
        <v>69</v>
      </c>
      <c r="P27">
        <v>181.191</v>
      </c>
      <c r="Q27" t="s">
        <v>69</v>
      </c>
      <c r="R27" t="s">
        <v>69</v>
      </c>
      <c r="S27">
        <v>258</v>
      </c>
      <c r="T27" t="s">
        <v>115</v>
      </c>
      <c r="U27" t="s">
        <v>69</v>
      </c>
      <c r="V27" t="s">
        <v>71</v>
      </c>
      <c r="W27" t="s">
        <v>69</v>
      </c>
      <c r="X27">
        <v>117.148</v>
      </c>
      <c r="Y27" t="s">
        <v>69</v>
      </c>
      <c r="Z27" t="s">
        <v>69</v>
      </c>
      <c r="AA27">
        <v>281</v>
      </c>
      <c r="AB27" t="s">
        <v>70</v>
      </c>
      <c r="AC27" t="s">
        <v>69</v>
      </c>
      <c r="AD27" t="s">
        <v>71</v>
      </c>
      <c r="AE27" t="s">
        <v>69</v>
      </c>
      <c r="AF27">
        <v>75.066999999999993</v>
      </c>
      <c r="AG27" t="s">
        <v>69</v>
      </c>
      <c r="AH27" t="s">
        <v>69</v>
      </c>
      <c r="AI27">
        <v>283</v>
      </c>
      <c r="AJ27" t="s">
        <v>155</v>
      </c>
      <c r="AK27" t="s">
        <v>153</v>
      </c>
      <c r="AL27" t="s">
        <v>150</v>
      </c>
      <c r="AM27" t="s">
        <v>153</v>
      </c>
      <c r="AN27">
        <v>105.093</v>
      </c>
      <c r="AO27" t="s">
        <v>69</v>
      </c>
      <c r="AP27" t="s">
        <v>69</v>
      </c>
      <c r="AQ27">
        <v>286</v>
      </c>
      <c r="AR27" t="s">
        <v>151</v>
      </c>
      <c r="AS27" t="s">
        <v>153</v>
      </c>
      <c r="AT27" t="s">
        <v>152</v>
      </c>
      <c r="AU27" t="s">
        <v>69</v>
      </c>
      <c r="AV27">
        <v>165.19200000000001</v>
      </c>
      <c r="AW27" t="s">
        <v>69</v>
      </c>
      <c r="AX27" t="s">
        <v>69</v>
      </c>
      <c r="AY27">
        <v>356</v>
      </c>
      <c r="AZ27" t="s">
        <v>72</v>
      </c>
      <c r="BA27" t="s">
        <v>69</v>
      </c>
      <c r="BB27" t="s">
        <v>71</v>
      </c>
      <c r="BC27" t="s">
        <v>69</v>
      </c>
      <c r="BD27">
        <v>131.17500000000001</v>
      </c>
      <c r="BE27" t="s">
        <v>69</v>
      </c>
      <c r="BF27" t="s">
        <v>69</v>
      </c>
    </row>
    <row r="28" spans="1:58" x14ac:dyDescent="0.25">
      <c r="A28">
        <v>7</v>
      </c>
      <c r="B28" t="str">
        <f>HYPERLINK("http://www.ncbi.nlm.nih.gov/protein/XP_006229083.1","XP_006229083.1")</f>
        <v>XP_006229083.1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HYPERLINK("http://www.ncbi.nlm.nih.gov/protein/XP_006229083.1","interferon regulatory factor 3 isoform X1")</f>
        <v>interferon regulatory factor 3 isoform X1</v>
      </c>
      <c r="I28" t="s">
        <v>260</v>
      </c>
      <c r="J28" t="s">
        <v>69</v>
      </c>
      <c r="K28">
        <v>300</v>
      </c>
      <c r="L28" t="s">
        <v>69</v>
      </c>
      <c r="M28" t="s">
        <v>69</v>
      </c>
      <c r="N28" t="s">
        <v>152</v>
      </c>
      <c r="O28" t="s">
        <v>69</v>
      </c>
      <c r="P28">
        <v>181.191</v>
      </c>
      <c r="Q28" t="s">
        <v>69</v>
      </c>
      <c r="R28" t="s">
        <v>69</v>
      </c>
      <c r="S28">
        <v>304</v>
      </c>
      <c r="T28" t="s">
        <v>115</v>
      </c>
      <c r="U28" t="s">
        <v>69</v>
      </c>
      <c r="V28" t="s">
        <v>71</v>
      </c>
      <c r="W28" t="s">
        <v>69</v>
      </c>
      <c r="X28">
        <v>117.148</v>
      </c>
      <c r="Y28" t="s">
        <v>69</v>
      </c>
      <c r="Z28" t="s">
        <v>69</v>
      </c>
      <c r="AA28">
        <v>327</v>
      </c>
      <c r="AB28" t="s">
        <v>70</v>
      </c>
      <c r="AC28" t="s">
        <v>69</v>
      </c>
      <c r="AD28" t="s">
        <v>71</v>
      </c>
      <c r="AE28" t="s">
        <v>69</v>
      </c>
      <c r="AF28">
        <v>75.066999999999993</v>
      </c>
      <c r="AG28" t="s">
        <v>69</v>
      </c>
      <c r="AH28" t="s">
        <v>69</v>
      </c>
      <c r="AI28">
        <v>329</v>
      </c>
      <c r="AJ28" t="s">
        <v>155</v>
      </c>
      <c r="AK28" t="s">
        <v>153</v>
      </c>
      <c r="AL28" t="s">
        <v>150</v>
      </c>
      <c r="AM28" t="s">
        <v>153</v>
      </c>
      <c r="AN28">
        <v>105.093</v>
      </c>
      <c r="AO28" t="s">
        <v>69</v>
      </c>
      <c r="AP28" t="s">
        <v>69</v>
      </c>
      <c r="AQ28">
        <v>332</v>
      </c>
      <c r="AR28" t="s">
        <v>151</v>
      </c>
      <c r="AS28" t="s">
        <v>153</v>
      </c>
      <c r="AT28" t="s">
        <v>152</v>
      </c>
      <c r="AU28" t="s">
        <v>69</v>
      </c>
      <c r="AV28">
        <v>165.19200000000001</v>
      </c>
      <c r="AW28" t="s">
        <v>69</v>
      </c>
      <c r="AX28" t="s">
        <v>69</v>
      </c>
      <c r="AY28">
        <v>402</v>
      </c>
      <c r="AZ28" t="s">
        <v>72</v>
      </c>
      <c r="BA28" t="s">
        <v>69</v>
      </c>
      <c r="BB28" t="s">
        <v>71</v>
      </c>
      <c r="BC28" t="s">
        <v>69</v>
      </c>
      <c r="BD28">
        <v>131.17500000000001</v>
      </c>
      <c r="BE28" t="s">
        <v>69</v>
      </c>
      <c r="BF28" t="s">
        <v>69</v>
      </c>
    </row>
    <row r="29" spans="1:58" x14ac:dyDescent="0.25">
      <c r="A29">
        <v>7</v>
      </c>
      <c r="B29" t="str">
        <f>HYPERLINK("http://www.ncbi.nlm.nih.gov/protein/XP_012979714.2","XP_012979714.2")</f>
        <v>XP_012979714.2</v>
      </c>
      <c r="C29">
        <v>54410</v>
      </c>
      <c r="D29" t="str">
        <f>HYPERLINK("http://www.ncbi.nlm.nih.gov/Taxonomy/Browser/wwwtax.cgi?mode=Info&amp;id=10036&amp;lvl=3&amp;lin=f&amp;keep=1&amp;srchmode=1&amp;unlock","10036")</f>
        <v>10036</v>
      </c>
      <c r="E29" t="s">
        <v>66</v>
      </c>
      <c r="F29" t="str">
        <f>HYPERLINK("http://www.ncbi.nlm.nih.gov/Taxonomy/Browser/wwwtax.cgi?mode=Info&amp;id=10036&amp;lvl=3&amp;lin=f&amp;keep=1&amp;srchmode=1&amp;unlock","Mesocricetus auratus")</f>
        <v>Mesocricetus auratus</v>
      </c>
      <c r="G29" t="s">
        <v>87</v>
      </c>
      <c r="H29" t="str">
        <f>HYPERLINK("http://www.ncbi.nlm.nih.gov/protein/XP_012979714.2","interferon regulatory factor 3 isoform X1")</f>
        <v>interferon regulatory factor 3 isoform X1</v>
      </c>
      <c r="I29" t="s">
        <v>260</v>
      </c>
      <c r="J29" t="s">
        <v>69</v>
      </c>
      <c r="K29">
        <v>285</v>
      </c>
      <c r="L29" t="s">
        <v>69</v>
      </c>
      <c r="M29" t="s">
        <v>69</v>
      </c>
      <c r="N29" t="s">
        <v>152</v>
      </c>
      <c r="O29" t="s">
        <v>69</v>
      </c>
      <c r="P29">
        <v>181.191</v>
      </c>
      <c r="Q29" t="s">
        <v>69</v>
      </c>
      <c r="R29" t="s">
        <v>69</v>
      </c>
      <c r="S29">
        <v>289</v>
      </c>
      <c r="T29" t="s">
        <v>115</v>
      </c>
      <c r="U29" t="s">
        <v>69</v>
      </c>
      <c r="V29" t="s">
        <v>71</v>
      </c>
      <c r="W29" t="s">
        <v>69</v>
      </c>
      <c r="X29">
        <v>117.148</v>
      </c>
      <c r="Y29" t="s">
        <v>69</v>
      </c>
      <c r="Z29" t="s">
        <v>69</v>
      </c>
      <c r="AA29">
        <v>312</v>
      </c>
      <c r="AB29" t="s">
        <v>70</v>
      </c>
      <c r="AC29" t="s">
        <v>69</v>
      </c>
      <c r="AD29" t="s">
        <v>71</v>
      </c>
      <c r="AE29" t="s">
        <v>69</v>
      </c>
      <c r="AF29">
        <v>75.066999999999993</v>
      </c>
      <c r="AG29" t="s">
        <v>69</v>
      </c>
      <c r="AH29" t="s">
        <v>69</v>
      </c>
      <c r="AI29">
        <v>314</v>
      </c>
      <c r="AJ29" t="s">
        <v>155</v>
      </c>
      <c r="AK29" t="s">
        <v>153</v>
      </c>
      <c r="AL29" t="s">
        <v>150</v>
      </c>
      <c r="AM29" t="s">
        <v>153</v>
      </c>
      <c r="AN29">
        <v>105.093</v>
      </c>
      <c r="AO29" t="s">
        <v>69</v>
      </c>
      <c r="AP29" t="s">
        <v>69</v>
      </c>
      <c r="AQ29">
        <v>317</v>
      </c>
      <c r="AR29" t="s">
        <v>151</v>
      </c>
      <c r="AS29" t="s">
        <v>153</v>
      </c>
      <c r="AT29" t="s">
        <v>152</v>
      </c>
      <c r="AU29" t="s">
        <v>69</v>
      </c>
      <c r="AV29">
        <v>165.19200000000001</v>
      </c>
      <c r="AW29" t="s">
        <v>69</v>
      </c>
      <c r="AX29" t="s">
        <v>69</v>
      </c>
      <c r="AY29">
        <v>387</v>
      </c>
      <c r="AZ29" t="s">
        <v>72</v>
      </c>
      <c r="BA29" t="s">
        <v>69</v>
      </c>
      <c r="BB29" t="s">
        <v>71</v>
      </c>
      <c r="BC29" t="s">
        <v>69</v>
      </c>
      <c r="BD29">
        <v>131.17500000000001</v>
      </c>
      <c r="BE29" t="s">
        <v>69</v>
      </c>
      <c r="BF29" t="s">
        <v>69</v>
      </c>
    </row>
    <row r="30" spans="1:58" x14ac:dyDescent="0.25">
      <c r="A30">
        <v>7</v>
      </c>
      <c r="B30" t="str">
        <f>HYPERLINK("http://www.ncbi.nlm.nih.gov/protein/NP_058545.1","NP_058545.1")</f>
        <v>NP_058545.1</v>
      </c>
      <c r="C30">
        <v>337449</v>
      </c>
      <c r="D30" t="str">
        <f>HYPERLINK("http://www.ncbi.nlm.nih.gov/Taxonomy/Browser/wwwtax.cgi?mode=Info&amp;id=10090&amp;lvl=3&amp;lin=f&amp;keep=1&amp;srchmode=1&amp;unlock","10090")</f>
        <v>10090</v>
      </c>
      <c r="E30" t="s">
        <v>66</v>
      </c>
      <c r="F30" t="str">
        <f>HYPERLINK("http://www.ncbi.nlm.nih.gov/Taxonomy/Browser/wwwtax.cgi?mode=Info&amp;id=10090&amp;lvl=3&amp;lin=f&amp;keep=1&amp;srchmode=1&amp;unlock","Mus musculus")</f>
        <v>Mus musculus</v>
      </c>
      <c r="G30" t="s">
        <v>104</v>
      </c>
      <c r="H30" t="str">
        <f>HYPERLINK("http://www.ncbi.nlm.nih.gov/protein/NP_058545.1","interferon regulatory factor 3")</f>
        <v>interferon regulatory factor 3</v>
      </c>
      <c r="I30" t="s">
        <v>260</v>
      </c>
      <c r="J30" t="s">
        <v>69</v>
      </c>
      <c r="K30">
        <v>253</v>
      </c>
      <c r="L30" t="s">
        <v>69</v>
      </c>
      <c r="M30" t="s">
        <v>69</v>
      </c>
      <c r="N30" t="s">
        <v>152</v>
      </c>
      <c r="O30" t="s">
        <v>69</v>
      </c>
      <c r="P30">
        <v>181.191</v>
      </c>
      <c r="Q30" t="s">
        <v>69</v>
      </c>
      <c r="R30" t="s">
        <v>69</v>
      </c>
      <c r="S30">
        <v>257</v>
      </c>
      <c r="T30" t="s">
        <v>115</v>
      </c>
      <c r="U30" t="s">
        <v>69</v>
      </c>
      <c r="V30" t="s">
        <v>71</v>
      </c>
      <c r="W30" t="s">
        <v>69</v>
      </c>
      <c r="X30">
        <v>117.148</v>
      </c>
      <c r="Y30" t="s">
        <v>69</v>
      </c>
      <c r="Z30" t="s">
        <v>69</v>
      </c>
      <c r="AA30">
        <v>280</v>
      </c>
      <c r="AB30" t="s">
        <v>70</v>
      </c>
      <c r="AC30" t="s">
        <v>69</v>
      </c>
      <c r="AD30" t="s">
        <v>71</v>
      </c>
      <c r="AE30" t="s">
        <v>69</v>
      </c>
      <c r="AF30">
        <v>75.066999999999993</v>
      </c>
      <c r="AG30" t="s">
        <v>69</v>
      </c>
      <c r="AH30" t="s">
        <v>69</v>
      </c>
      <c r="AI30">
        <v>282</v>
      </c>
      <c r="AJ30" t="s">
        <v>155</v>
      </c>
      <c r="AK30" t="s">
        <v>153</v>
      </c>
      <c r="AL30" t="s">
        <v>150</v>
      </c>
      <c r="AM30" t="s">
        <v>153</v>
      </c>
      <c r="AN30">
        <v>105.093</v>
      </c>
      <c r="AO30" t="s">
        <v>69</v>
      </c>
      <c r="AP30" t="s">
        <v>69</v>
      </c>
      <c r="AQ30">
        <v>285</v>
      </c>
      <c r="AR30" t="s">
        <v>151</v>
      </c>
      <c r="AS30" t="s">
        <v>153</v>
      </c>
      <c r="AT30" t="s">
        <v>152</v>
      </c>
      <c r="AU30" t="s">
        <v>69</v>
      </c>
      <c r="AV30">
        <v>165.19200000000001</v>
      </c>
      <c r="AW30" t="s">
        <v>69</v>
      </c>
      <c r="AX30" t="s">
        <v>69</v>
      </c>
      <c r="AY30">
        <v>355</v>
      </c>
      <c r="AZ30" t="s">
        <v>72</v>
      </c>
      <c r="BA30" t="s">
        <v>69</v>
      </c>
      <c r="BB30" t="s">
        <v>71</v>
      </c>
      <c r="BC30" t="s">
        <v>69</v>
      </c>
      <c r="BD30">
        <v>131.17500000000001</v>
      </c>
      <c r="BE30" t="s">
        <v>69</v>
      </c>
      <c r="BF30" t="s">
        <v>69</v>
      </c>
    </row>
    <row r="31" spans="1:58" x14ac:dyDescent="0.25">
      <c r="A31">
        <v>7</v>
      </c>
      <c r="B31" t="str">
        <f>HYPERLINK("http://www.ncbi.nlm.nih.gov/protein/XP_025051905.1","XP_025051905.1")</f>
        <v>XP_025051905.1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HYPERLINK("http://www.ncbi.nlm.nih.gov/protein/XP_025051905.1","interferon regulatory factor 3 isoform X1")</f>
        <v>interferon regulatory factor 3 isoform X1</v>
      </c>
      <c r="I31" t="s">
        <v>260</v>
      </c>
      <c r="J31" t="s">
        <v>69</v>
      </c>
      <c r="K31">
        <v>272</v>
      </c>
      <c r="L31" t="s">
        <v>69</v>
      </c>
      <c r="M31" t="s">
        <v>69</v>
      </c>
      <c r="N31" t="s">
        <v>152</v>
      </c>
      <c r="O31" t="s">
        <v>69</v>
      </c>
      <c r="P31">
        <v>181.191</v>
      </c>
      <c r="Q31" t="s">
        <v>69</v>
      </c>
      <c r="R31" t="s">
        <v>69</v>
      </c>
      <c r="S31">
        <v>276</v>
      </c>
      <c r="T31" t="s">
        <v>72</v>
      </c>
      <c r="U31" t="s">
        <v>153</v>
      </c>
      <c r="V31" t="s">
        <v>71</v>
      </c>
      <c r="W31" t="s">
        <v>69</v>
      </c>
      <c r="X31">
        <v>131.17500000000001</v>
      </c>
      <c r="Y31" t="s">
        <v>69</v>
      </c>
      <c r="Z31" t="s">
        <v>69</v>
      </c>
      <c r="AA31">
        <v>299</v>
      </c>
      <c r="AB31" t="s">
        <v>70</v>
      </c>
      <c r="AC31" t="s">
        <v>69</v>
      </c>
      <c r="AD31" t="s">
        <v>71</v>
      </c>
      <c r="AE31" t="s">
        <v>69</v>
      </c>
      <c r="AF31">
        <v>75.066999999999993</v>
      </c>
      <c r="AG31" t="s">
        <v>69</v>
      </c>
      <c r="AH31" t="s">
        <v>69</v>
      </c>
      <c r="AI31">
        <v>301</v>
      </c>
      <c r="AJ31" t="s">
        <v>249</v>
      </c>
      <c r="AK31" t="s">
        <v>69</v>
      </c>
      <c r="AL31" t="s">
        <v>117</v>
      </c>
      <c r="AM31" t="s">
        <v>69</v>
      </c>
      <c r="AN31">
        <v>121.154</v>
      </c>
      <c r="AO31" t="s">
        <v>69</v>
      </c>
      <c r="AP31" t="s">
        <v>69</v>
      </c>
      <c r="AQ31">
        <v>304</v>
      </c>
      <c r="AR31" t="s">
        <v>151</v>
      </c>
      <c r="AS31" t="s">
        <v>153</v>
      </c>
      <c r="AT31" t="s">
        <v>152</v>
      </c>
      <c r="AU31" t="s">
        <v>69</v>
      </c>
      <c r="AV31">
        <v>165.19200000000001</v>
      </c>
      <c r="AW31" t="s">
        <v>69</v>
      </c>
      <c r="AX31" t="s">
        <v>69</v>
      </c>
      <c r="AY31">
        <v>372</v>
      </c>
      <c r="AZ31" t="s">
        <v>72</v>
      </c>
      <c r="BA31" t="s">
        <v>69</v>
      </c>
      <c r="BB31" t="s">
        <v>71</v>
      </c>
      <c r="BC31" t="s">
        <v>69</v>
      </c>
      <c r="BD31">
        <v>131.17500000000001</v>
      </c>
      <c r="BE31" t="s">
        <v>69</v>
      </c>
      <c r="BF31" t="s">
        <v>69</v>
      </c>
    </row>
    <row r="32" spans="1:58" x14ac:dyDescent="0.25">
      <c r="A32">
        <v>7</v>
      </c>
      <c r="B32" t="str">
        <f>HYPERLINK("http://www.ncbi.nlm.nih.gov/protein/QYW22359.1","QYW22359.1")</f>
        <v>QYW22359.1</v>
      </c>
      <c r="C32">
        <v>146185</v>
      </c>
      <c r="D32" t="str">
        <f>HYPERLINK("http://www.ncbi.nlm.nih.gov/Taxonomy/Browser/wwwtax.cgi?mode=Info&amp;id=8355&amp;lvl=3&amp;lin=f&amp;keep=1&amp;srchmode=1&amp;unlock","8355")</f>
        <v>8355</v>
      </c>
      <c r="E32" t="s">
        <v>111</v>
      </c>
      <c r="F32" t="str">
        <f>HYPERLINK("http://www.ncbi.nlm.nih.gov/Taxonomy/Browser/wwwtax.cgi?mode=Info&amp;id=8355&amp;lvl=3&amp;lin=f&amp;keep=1&amp;srchmode=1&amp;unlock","Xenopus laevis")</f>
        <v>Xenopus laevis</v>
      </c>
      <c r="G32" t="s">
        <v>112</v>
      </c>
      <c r="H32" t="str">
        <f>HYPERLINK("http://www.ncbi.nlm.nih.gov/protein/QYW22359.1","interferon regulatory factor 3")</f>
        <v>interferon regulatory factor 3</v>
      </c>
      <c r="I32" t="s">
        <v>260</v>
      </c>
      <c r="J32" t="s">
        <v>153</v>
      </c>
      <c r="K32">
        <v>309</v>
      </c>
      <c r="L32" t="s">
        <v>119</v>
      </c>
      <c r="M32" t="s">
        <v>153</v>
      </c>
      <c r="N32" t="s">
        <v>120</v>
      </c>
      <c r="O32" t="s">
        <v>153</v>
      </c>
      <c r="P32">
        <v>147.131</v>
      </c>
      <c r="Q32" t="s">
        <v>153</v>
      </c>
      <c r="R32" t="s">
        <v>153</v>
      </c>
      <c r="S32">
        <v>313</v>
      </c>
      <c r="T32" t="s">
        <v>72</v>
      </c>
      <c r="U32" t="s">
        <v>153</v>
      </c>
      <c r="V32" t="s">
        <v>71</v>
      </c>
      <c r="W32" t="s">
        <v>69</v>
      </c>
      <c r="X32">
        <v>131.17500000000001</v>
      </c>
      <c r="Y32" t="s">
        <v>69</v>
      </c>
      <c r="Z32" t="s">
        <v>69</v>
      </c>
      <c r="AA32">
        <v>336</v>
      </c>
      <c r="AB32" t="s">
        <v>70</v>
      </c>
      <c r="AC32" t="s">
        <v>69</v>
      </c>
      <c r="AD32" t="s">
        <v>71</v>
      </c>
      <c r="AE32" t="s">
        <v>69</v>
      </c>
      <c r="AF32">
        <v>75.066999999999993</v>
      </c>
      <c r="AG32" t="s">
        <v>69</v>
      </c>
      <c r="AH32" t="s">
        <v>69</v>
      </c>
      <c r="AI32">
        <v>338</v>
      </c>
      <c r="AJ32" t="s">
        <v>249</v>
      </c>
      <c r="AK32" t="s">
        <v>69</v>
      </c>
      <c r="AL32" t="s">
        <v>117</v>
      </c>
      <c r="AM32" t="s">
        <v>69</v>
      </c>
      <c r="AN32">
        <v>121.154</v>
      </c>
      <c r="AO32" t="s">
        <v>69</v>
      </c>
      <c r="AP32" t="s">
        <v>69</v>
      </c>
      <c r="AQ32">
        <v>341</v>
      </c>
      <c r="AR32" t="s">
        <v>151</v>
      </c>
      <c r="AS32" t="s">
        <v>153</v>
      </c>
      <c r="AT32" t="s">
        <v>152</v>
      </c>
      <c r="AU32" t="s">
        <v>69</v>
      </c>
      <c r="AV32">
        <v>165.19200000000001</v>
      </c>
      <c r="AW32" t="s">
        <v>69</v>
      </c>
      <c r="AX32" t="s">
        <v>69</v>
      </c>
      <c r="AY32">
        <v>408</v>
      </c>
      <c r="AZ32" t="s">
        <v>151</v>
      </c>
      <c r="BA32" t="s">
        <v>153</v>
      </c>
      <c r="BB32" t="s">
        <v>152</v>
      </c>
      <c r="BC32" t="s">
        <v>153</v>
      </c>
      <c r="BD32">
        <v>165.19200000000001</v>
      </c>
      <c r="BE32" t="s">
        <v>153</v>
      </c>
      <c r="BF32" t="s">
        <v>153</v>
      </c>
    </row>
    <row r="33" spans="1:58" x14ac:dyDescent="0.25">
      <c r="A33">
        <v>7</v>
      </c>
      <c r="B33" t="str">
        <f>HYPERLINK("http://www.ncbi.nlm.nih.gov/protein/XP_039519056.1","XP_039519056.1")</f>
        <v>XP_039519056.1</v>
      </c>
      <c r="C33">
        <v>96114</v>
      </c>
      <c r="D33" t="str">
        <f>HYPERLINK("http://www.ncbi.nlm.nih.gov/Taxonomy/Browser/wwwtax.cgi?mode=Info&amp;id=90988&amp;lvl=3&amp;lin=f&amp;keep=1&amp;srchmode=1&amp;unlock","90988")</f>
        <v>90988</v>
      </c>
      <c r="E33" t="s">
        <v>113</v>
      </c>
      <c r="F33" t="str">
        <f>HYPERLINK("http://www.ncbi.nlm.nih.gov/Taxonomy/Browser/wwwtax.cgi?mode=Info&amp;id=90988&amp;lvl=3&amp;lin=f&amp;keep=1&amp;srchmode=1&amp;unlock","Pimephales promelas")</f>
        <v>Pimephales promelas</v>
      </c>
      <c r="G33" t="s">
        <v>114</v>
      </c>
      <c r="H33" t="str">
        <f>HYPERLINK("http://www.ncbi.nlm.nih.gov/protein/XP_039519056.1","interferon regulatory factor 7 isoform X1")</f>
        <v>interferon regulatory factor 7 isoform X1</v>
      </c>
      <c r="I33" t="s">
        <v>260</v>
      </c>
      <c r="J33" t="s">
        <v>153</v>
      </c>
      <c r="K33">
        <v>271</v>
      </c>
      <c r="L33" t="s">
        <v>151</v>
      </c>
      <c r="M33" t="s">
        <v>153</v>
      </c>
      <c r="N33" t="s">
        <v>152</v>
      </c>
      <c r="O33" t="s">
        <v>69</v>
      </c>
      <c r="P33">
        <v>165.19200000000001</v>
      </c>
      <c r="Q33" t="s">
        <v>69</v>
      </c>
      <c r="R33" t="s">
        <v>69</v>
      </c>
      <c r="S33">
        <v>275</v>
      </c>
      <c r="T33" t="s">
        <v>145</v>
      </c>
      <c r="U33" t="s">
        <v>153</v>
      </c>
      <c r="V33" t="s">
        <v>71</v>
      </c>
      <c r="W33" t="s">
        <v>69</v>
      </c>
      <c r="X33">
        <v>131.17500000000001</v>
      </c>
      <c r="Y33" t="s">
        <v>69</v>
      </c>
      <c r="Z33" t="s">
        <v>69</v>
      </c>
      <c r="AA33">
        <v>298</v>
      </c>
      <c r="AB33" t="s">
        <v>156</v>
      </c>
      <c r="AC33" t="s">
        <v>153</v>
      </c>
      <c r="AD33" t="s">
        <v>120</v>
      </c>
      <c r="AE33" t="s">
        <v>153</v>
      </c>
      <c r="AF33">
        <v>133.10400000000001</v>
      </c>
      <c r="AG33" t="s">
        <v>153</v>
      </c>
      <c r="AH33" t="s">
        <v>153</v>
      </c>
      <c r="AI33">
        <v>300</v>
      </c>
      <c r="AJ33" t="s">
        <v>249</v>
      </c>
      <c r="AK33" t="s">
        <v>69</v>
      </c>
      <c r="AL33" t="s">
        <v>117</v>
      </c>
      <c r="AM33" t="s">
        <v>69</v>
      </c>
      <c r="AN33">
        <v>121.154</v>
      </c>
      <c r="AO33" t="s">
        <v>69</v>
      </c>
      <c r="AP33" t="s">
        <v>69</v>
      </c>
      <c r="AQ33">
        <v>303</v>
      </c>
      <c r="AR33" t="s">
        <v>151</v>
      </c>
      <c r="AS33" t="s">
        <v>153</v>
      </c>
      <c r="AT33" t="s">
        <v>152</v>
      </c>
      <c r="AU33" t="s">
        <v>69</v>
      </c>
      <c r="AV33">
        <v>165.19200000000001</v>
      </c>
      <c r="AW33" t="s">
        <v>69</v>
      </c>
      <c r="AX33" t="s">
        <v>69</v>
      </c>
      <c r="AY33">
        <v>371</v>
      </c>
      <c r="AZ33" t="s">
        <v>72</v>
      </c>
      <c r="BA33" t="s">
        <v>69</v>
      </c>
      <c r="BB33" t="s">
        <v>71</v>
      </c>
      <c r="BC33" t="s">
        <v>69</v>
      </c>
      <c r="BD33">
        <v>131.17500000000001</v>
      </c>
      <c r="BE33" t="s">
        <v>69</v>
      </c>
      <c r="BF33" t="s">
        <v>69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1"/>
  <sheetViews>
    <sheetView workbookViewId="0"/>
  </sheetViews>
  <sheetFormatPr defaultRowHeight="15" x14ac:dyDescent="0.25"/>
  <cols>
    <col min="8" max="8" width="34.85546875" customWidth="1"/>
  </cols>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row>
    <row r="2" spans="1:74" x14ac:dyDescent="0.25">
      <c r="A2">
        <v>7</v>
      </c>
      <c r="B2" t="str">
        <f>HYPERLINK("http://www.ncbi.nlm.nih.gov/protein/NP_005092.1","NP_005092.1")</f>
        <v>NP_005092.1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HYPERLINK("http://www.ncbi.nlm.nih.gov/protein/NP_005092.1","ubiquitin-like protein ISG15")</f>
        <v>ubiquitin-like protein ISG15</v>
      </c>
      <c r="I2" t="s">
        <v>261</v>
      </c>
      <c r="J2" t="s">
        <v>69</v>
      </c>
      <c r="K2">
        <v>22</v>
      </c>
      <c r="L2" t="s">
        <v>155</v>
      </c>
      <c r="M2" t="s">
        <v>69</v>
      </c>
      <c r="N2" t="s">
        <v>150</v>
      </c>
      <c r="O2" t="s">
        <v>69</v>
      </c>
      <c r="P2">
        <v>105.093</v>
      </c>
      <c r="Q2" t="s">
        <v>69</v>
      </c>
      <c r="R2" t="s">
        <v>69</v>
      </c>
      <c r="S2">
        <v>123</v>
      </c>
      <c r="T2" t="s">
        <v>250</v>
      </c>
      <c r="U2" t="s">
        <v>69</v>
      </c>
      <c r="V2" t="s">
        <v>152</v>
      </c>
      <c r="W2" t="s">
        <v>69</v>
      </c>
      <c r="X2">
        <v>204.22800000000001</v>
      </c>
      <c r="Y2" t="s">
        <v>69</v>
      </c>
      <c r="Z2" t="s">
        <v>69</v>
      </c>
      <c r="AA2">
        <v>127</v>
      </c>
      <c r="AB2" t="s">
        <v>119</v>
      </c>
      <c r="AC2" t="s">
        <v>69</v>
      </c>
      <c r="AD2" t="s">
        <v>120</v>
      </c>
      <c r="AE2" t="s">
        <v>69</v>
      </c>
      <c r="AF2">
        <v>147.131</v>
      </c>
      <c r="AG2" t="s">
        <v>69</v>
      </c>
      <c r="AH2" t="s">
        <v>69</v>
      </c>
      <c r="AI2">
        <v>128</v>
      </c>
      <c r="AJ2" t="s">
        <v>70</v>
      </c>
      <c r="AK2" t="s">
        <v>69</v>
      </c>
      <c r="AL2" t="s">
        <v>71</v>
      </c>
      <c r="AM2" t="s">
        <v>69</v>
      </c>
      <c r="AN2">
        <v>75.066999999999993</v>
      </c>
      <c r="AO2" t="s">
        <v>69</v>
      </c>
      <c r="AP2" t="s">
        <v>69</v>
      </c>
      <c r="AQ2">
        <v>130</v>
      </c>
      <c r="AR2" t="s">
        <v>146</v>
      </c>
      <c r="AS2" t="s">
        <v>69</v>
      </c>
      <c r="AT2" t="s">
        <v>71</v>
      </c>
      <c r="AU2" t="s">
        <v>69</v>
      </c>
      <c r="AV2">
        <v>115.13200000000001</v>
      </c>
      <c r="AW2" t="s">
        <v>69</v>
      </c>
      <c r="AX2" t="s">
        <v>69</v>
      </c>
      <c r="AY2">
        <v>153</v>
      </c>
      <c r="AZ2" t="s">
        <v>74</v>
      </c>
      <c r="BA2" t="s">
        <v>69</v>
      </c>
      <c r="BB2" t="s">
        <v>75</v>
      </c>
      <c r="BC2" t="s">
        <v>69</v>
      </c>
      <c r="BD2">
        <v>174.203</v>
      </c>
      <c r="BE2" t="s">
        <v>69</v>
      </c>
      <c r="BF2" t="s">
        <v>69</v>
      </c>
      <c r="BG2">
        <v>155</v>
      </c>
      <c r="BH2" t="s">
        <v>74</v>
      </c>
      <c r="BI2" t="s">
        <v>69</v>
      </c>
      <c r="BJ2" t="s">
        <v>75</v>
      </c>
      <c r="BK2" t="s">
        <v>69</v>
      </c>
      <c r="BL2">
        <v>174.203</v>
      </c>
      <c r="BM2" t="s">
        <v>69</v>
      </c>
      <c r="BN2" t="s">
        <v>69</v>
      </c>
      <c r="BO2">
        <v>156</v>
      </c>
      <c r="BP2" t="s">
        <v>70</v>
      </c>
      <c r="BQ2" t="s">
        <v>69</v>
      </c>
      <c r="BR2" t="s">
        <v>71</v>
      </c>
      <c r="BS2" t="s">
        <v>69</v>
      </c>
      <c r="BT2">
        <v>75.066999999999993</v>
      </c>
      <c r="BU2" t="s">
        <v>69</v>
      </c>
      <c r="BV2" t="s">
        <v>69</v>
      </c>
    </row>
    <row r="3" spans="1:74" x14ac:dyDescent="0.25">
      <c r="A3">
        <v>7</v>
      </c>
      <c r="B3" t="str">
        <f>HYPERLINK("http://www.ncbi.nlm.nih.gov/protein/NP_001253735.1","NP_001253735.1")</f>
        <v>NP_001253735.1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HYPERLINK("http://www.ncbi.nlm.nih.gov/protein/NP_001253735.1","ubiquitin-like protein ISG15")</f>
        <v>ubiquitin-like protein ISG15</v>
      </c>
      <c r="I3" t="s">
        <v>261</v>
      </c>
      <c r="J3" t="s">
        <v>69</v>
      </c>
      <c r="K3">
        <v>22</v>
      </c>
      <c r="L3" t="s">
        <v>155</v>
      </c>
      <c r="M3" t="s">
        <v>69</v>
      </c>
      <c r="N3" t="s">
        <v>150</v>
      </c>
      <c r="O3" t="s">
        <v>69</v>
      </c>
      <c r="P3">
        <v>105.093</v>
      </c>
      <c r="Q3" t="s">
        <v>69</v>
      </c>
      <c r="R3" t="s">
        <v>69</v>
      </c>
      <c r="S3">
        <v>123</v>
      </c>
      <c r="T3" t="s">
        <v>250</v>
      </c>
      <c r="U3" t="s">
        <v>69</v>
      </c>
      <c r="V3" t="s">
        <v>152</v>
      </c>
      <c r="W3" t="s">
        <v>69</v>
      </c>
      <c r="X3">
        <v>204.22800000000001</v>
      </c>
      <c r="Y3" t="s">
        <v>69</v>
      </c>
      <c r="Z3" t="s">
        <v>69</v>
      </c>
      <c r="AA3">
        <v>127</v>
      </c>
      <c r="AB3" t="s">
        <v>119</v>
      </c>
      <c r="AC3" t="s">
        <v>69</v>
      </c>
      <c r="AD3" t="s">
        <v>120</v>
      </c>
      <c r="AE3" t="s">
        <v>69</v>
      </c>
      <c r="AF3">
        <v>147.131</v>
      </c>
      <c r="AG3" t="s">
        <v>69</v>
      </c>
      <c r="AH3" t="s">
        <v>69</v>
      </c>
      <c r="AI3">
        <v>128</v>
      </c>
      <c r="AJ3" t="s">
        <v>70</v>
      </c>
      <c r="AK3" t="s">
        <v>69</v>
      </c>
      <c r="AL3" t="s">
        <v>71</v>
      </c>
      <c r="AM3" t="s">
        <v>69</v>
      </c>
      <c r="AN3">
        <v>75.066999999999993</v>
      </c>
      <c r="AO3" t="s">
        <v>69</v>
      </c>
      <c r="AP3" t="s">
        <v>69</v>
      </c>
      <c r="AQ3">
        <v>130</v>
      </c>
      <c r="AR3" t="s">
        <v>146</v>
      </c>
      <c r="AS3" t="s">
        <v>69</v>
      </c>
      <c r="AT3" t="s">
        <v>71</v>
      </c>
      <c r="AU3" t="s">
        <v>69</v>
      </c>
      <c r="AV3">
        <v>115.13200000000001</v>
      </c>
      <c r="AW3" t="s">
        <v>69</v>
      </c>
      <c r="AX3" t="s">
        <v>69</v>
      </c>
      <c r="AY3">
        <v>153</v>
      </c>
      <c r="AZ3" t="s">
        <v>74</v>
      </c>
      <c r="BA3" t="s">
        <v>69</v>
      </c>
      <c r="BB3" t="s">
        <v>75</v>
      </c>
      <c r="BC3" t="s">
        <v>69</v>
      </c>
      <c r="BD3">
        <v>174.203</v>
      </c>
      <c r="BE3" t="s">
        <v>69</v>
      </c>
      <c r="BF3" t="s">
        <v>69</v>
      </c>
      <c r="BG3">
        <v>155</v>
      </c>
      <c r="BH3" t="s">
        <v>74</v>
      </c>
      <c r="BI3" t="s">
        <v>69</v>
      </c>
      <c r="BJ3" t="s">
        <v>75</v>
      </c>
      <c r="BK3" t="s">
        <v>69</v>
      </c>
      <c r="BL3">
        <v>174.203</v>
      </c>
      <c r="BM3" t="s">
        <v>69</v>
      </c>
      <c r="BN3" t="s">
        <v>69</v>
      </c>
      <c r="BO3">
        <v>156</v>
      </c>
      <c r="BP3" t="s">
        <v>70</v>
      </c>
      <c r="BQ3" t="s">
        <v>69</v>
      </c>
      <c r="BR3" t="s">
        <v>71</v>
      </c>
      <c r="BS3" t="s">
        <v>69</v>
      </c>
      <c r="BT3">
        <v>75.066999999999993</v>
      </c>
      <c r="BU3" t="s">
        <v>69</v>
      </c>
      <c r="BV3" t="s">
        <v>69</v>
      </c>
    </row>
    <row r="4" spans="1:74" x14ac:dyDescent="0.25">
      <c r="A4">
        <v>7</v>
      </c>
      <c r="B4" t="str">
        <f>HYPERLINK("http://www.ncbi.nlm.nih.gov/protein/XP_003918909.1","XP_003918909.1")</f>
        <v>XP_003918909.1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HYPERLINK("http://www.ncbi.nlm.nih.gov/protein/XP_003918909.1","ubiquitin-like protein ISG15 isoform X2")</f>
        <v>ubiquitin-like protein ISG15 isoform X2</v>
      </c>
      <c r="I4" t="s">
        <v>261</v>
      </c>
      <c r="J4" t="s">
        <v>69</v>
      </c>
      <c r="K4">
        <v>22</v>
      </c>
      <c r="L4" t="s">
        <v>155</v>
      </c>
      <c r="M4" t="s">
        <v>69</v>
      </c>
      <c r="N4" t="s">
        <v>150</v>
      </c>
      <c r="O4" t="s">
        <v>69</v>
      </c>
      <c r="P4">
        <v>105.093</v>
      </c>
      <c r="Q4" t="s">
        <v>69</v>
      </c>
      <c r="R4" t="s">
        <v>69</v>
      </c>
      <c r="S4">
        <v>123</v>
      </c>
      <c r="T4" t="s">
        <v>250</v>
      </c>
      <c r="U4" t="s">
        <v>69</v>
      </c>
      <c r="V4" t="s">
        <v>152</v>
      </c>
      <c r="W4" t="s">
        <v>69</v>
      </c>
      <c r="X4">
        <v>204.22800000000001</v>
      </c>
      <c r="Y4" t="s">
        <v>69</v>
      </c>
      <c r="Z4" t="s">
        <v>69</v>
      </c>
      <c r="AA4">
        <v>127</v>
      </c>
      <c r="AB4" t="s">
        <v>119</v>
      </c>
      <c r="AC4" t="s">
        <v>69</v>
      </c>
      <c r="AD4" t="s">
        <v>120</v>
      </c>
      <c r="AE4" t="s">
        <v>69</v>
      </c>
      <c r="AF4">
        <v>147.131</v>
      </c>
      <c r="AG4" t="s">
        <v>69</v>
      </c>
      <c r="AH4" t="s">
        <v>69</v>
      </c>
      <c r="AI4">
        <v>128</v>
      </c>
      <c r="AJ4" t="s">
        <v>70</v>
      </c>
      <c r="AK4" t="s">
        <v>69</v>
      </c>
      <c r="AL4" t="s">
        <v>71</v>
      </c>
      <c r="AM4" t="s">
        <v>69</v>
      </c>
      <c r="AN4">
        <v>75.066999999999993</v>
      </c>
      <c r="AO4" t="s">
        <v>69</v>
      </c>
      <c r="AP4" t="s">
        <v>69</v>
      </c>
      <c r="AQ4">
        <v>130</v>
      </c>
      <c r="AR4" t="s">
        <v>146</v>
      </c>
      <c r="AS4" t="s">
        <v>69</v>
      </c>
      <c r="AT4" t="s">
        <v>71</v>
      </c>
      <c r="AU4" t="s">
        <v>69</v>
      </c>
      <c r="AV4">
        <v>115.13200000000001</v>
      </c>
      <c r="AW4" t="s">
        <v>69</v>
      </c>
      <c r="AX4" t="s">
        <v>69</v>
      </c>
      <c r="AY4">
        <v>153</v>
      </c>
      <c r="AZ4" t="s">
        <v>74</v>
      </c>
      <c r="BA4" t="s">
        <v>69</v>
      </c>
      <c r="BB4" t="s">
        <v>75</v>
      </c>
      <c r="BC4" t="s">
        <v>69</v>
      </c>
      <c r="BD4">
        <v>174.203</v>
      </c>
      <c r="BE4" t="s">
        <v>69</v>
      </c>
      <c r="BF4" t="s">
        <v>69</v>
      </c>
      <c r="BG4">
        <v>155</v>
      </c>
      <c r="BH4" t="s">
        <v>74</v>
      </c>
      <c r="BI4" t="s">
        <v>69</v>
      </c>
      <c r="BJ4" t="s">
        <v>75</v>
      </c>
      <c r="BK4" t="s">
        <v>69</v>
      </c>
      <c r="BL4">
        <v>174.203</v>
      </c>
      <c r="BM4" t="s">
        <v>69</v>
      </c>
      <c r="BN4" t="s">
        <v>69</v>
      </c>
      <c r="BO4">
        <v>156</v>
      </c>
      <c r="BP4" t="s">
        <v>70</v>
      </c>
      <c r="BQ4" t="s">
        <v>69</v>
      </c>
      <c r="BR4" t="s">
        <v>71</v>
      </c>
      <c r="BS4" t="s">
        <v>69</v>
      </c>
      <c r="BT4">
        <v>75.066999999999993</v>
      </c>
      <c r="BU4" t="s">
        <v>69</v>
      </c>
      <c r="BV4" t="s">
        <v>69</v>
      </c>
    </row>
    <row r="5" spans="1:74" x14ac:dyDescent="0.25">
      <c r="A5">
        <v>7</v>
      </c>
      <c r="B5" t="str">
        <f>HYPERLINK("http://www.ncbi.nlm.nih.gov/protein/XP_007979280.1","XP_007979280.1")</f>
        <v>XP_007979280.1</v>
      </c>
      <c r="C5">
        <v>62302</v>
      </c>
      <c r="D5" t="str">
        <f>HYPERLINK("http://www.ncbi.nlm.nih.gov/Taxonomy/Browser/wwwtax.cgi?mode=Info&amp;id=60711&amp;lvl=3&amp;lin=f&amp;keep=1&amp;srchmode=1&amp;unlock","60711")</f>
        <v>60711</v>
      </c>
      <c r="E5" t="s">
        <v>66</v>
      </c>
      <c r="F5" t="str">
        <f>HYPERLINK("http://www.ncbi.nlm.nih.gov/Taxonomy/Browser/wwwtax.cgi?mode=Info&amp;id=60711&amp;lvl=3&amp;lin=f&amp;keep=1&amp;srchmode=1&amp;unlock","Chlorocebus sabaeus")</f>
        <v>Chlorocebus sabaeus</v>
      </c>
      <c r="G5" t="s">
        <v>78</v>
      </c>
      <c r="H5" t="str">
        <f>HYPERLINK("http://www.ncbi.nlm.nih.gov/protein/XP_007979280.1","ubiquitin-like protein ISG15")</f>
        <v>ubiquitin-like protein ISG15</v>
      </c>
      <c r="I5" t="s">
        <v>261</v>
      </c>
      <c r="J5" t="s">
        <v>69</v>
      </c>
      <c r="K5">
        <v>22</v>
      </c>
      <c r="L5" t="s">
        <v>155</v>
      </c>
      <c r="M5" t="s">
        <v>69</v>
      </c>
      <c r="N5" t="s">
        <v>150</v>
      </c>
      <c r="O5" t="s">
        <v>69</v>
      </c>
      <c r="P5">
        <v>105.093</v>
      </c>
      <c r="Q5" t="s">
        <v>69</v>
      </c>
      <c r="R5" t="s">
        <v>69</v>
      </c>
      <c r="S5">
        <v>123</v>
      </c>
      <c r="T5" t="s">
        <v>250</v>
      </c>
      <c r="U5" t="s">
        <v>69</v>
      </c>
      <c r="V5" t="s">
        <v>152</v>
      </c>
      <c r="W5" t="s">
        <v>69</v>
      </c>
      <c r="X5">
        <v>204.22800000000001</v>
      </c>
      <c r="Y5" t="s">
        <v>69</v>
      </c>
      <c r="Z5" t="s">
        <v>69</v>
      </c>
      <c r="AA5">
        <v>127</v>
      </c>
      <c r="AB5" t="s">
        <v>119</v>
      </c>
      <c r="AC5" t="s">
        <v>69</v>
      </c>
      <c r="AD5" t="s">
        <v>120</v>
      </c>
      <c r="AE5" t="s">
        <v>69</v>
      </c>
      <c r="AF5">
        <v>147.131</v>
      </c>
      <c r="AG5" t="s">
        <v>69</v>
      </c>
      <c r="AH5" t="s">
        <v>69</v>
      </c>
      <c r="AI5">
        <v>128</v>
      </c>
      <c r="AJ5" t="s">
        <v>70</v>
      </c>
      <c r="AK5" t="s">
        <v>69</v>
      </c>
      <c r="AL5" t="s">
        <v>71</v>
      </c>
      <c r="AM5" t="s">
        <v>69</v>
      </c>
      <c r="AN5">
        <v>75.066999999999993</v>
      </c>
      <c r="AO5" t="s">
        <v>69</v>
      </c>
      <c r="AP5" t="s">
        <v>69</v>
      </c>
      <c r="AQ5">
        <v>130</v>
      </c>
      <c r="AR5" t="s">
        <v>146</v>
      </c>
      <c r="AS5" t="s">
        <v>69</v>
      </c>
      <c r="AT5" t="s">
        <v>71</v>
      </c>
      <c r="AU5" t="s">
        <v>69</v>
      </c>
      <c r="AV5">
        <v>115.13200000000001</v>
      </c>
      <c r="AW5" t="s">
        <v>69</v>
      </c>
      <c r="AX5" t="s">
        <v>69</v>
      </c>
      <c r="AY5">
        <v>153</v>
      </c>
      <c r="AZ5" t="s">
        <v>74</v>
      </c>
      <c r="BA5" t="s">
        <v>69</v>
      </c>
      <c r="BB5" t="s">
        <v>75</v>
      </c>
      <c r="BC5" t="s">
        <v>69</v>
      </c>
      <c r="BD5">
        <v>174.203</v>
      </c>
      <c r="BE5" t="s">
        <v>69</v>
      </c>
      <c r="BF5" t="s">
        <v>69</v>
      </c>
      <c r="BG5">
        <v>155</v>
      </c>
      <c r="BH5" t="s">
        <v>74</v>
      </c>
      <c r="BI5" t="s">
        <v>69</v>
      </c>
      <c r="BJ5" t="s">
        <v>75</v>
      </c>
      <c r="BK5" t="s">
        <v>69</v>
      </c>
      <c r="BL5">
        <v>174.203</v>
      </c>
      <c r="BM5" t="s">
        <v>69</v>
      </c>
      <c r="BN5" t="s">
        <v>69</v>
      </c>
      <c r="BO5">
        <v>156</v>
      </c>
      <c r="BP5" t="s">
        <v>70</v>
      </c>
      <c r="BQ5" t="s">
        <v>69</v>
      </c>
      <c r="BR5" t="s">
        <v>71</v>
      </c>
      <c r="BS5" t="s">
        <v>69</v>
      </c>
      <c r="BT5">
        <v>75.066999999999993</v>
      </c>
      <c r="BU5" t="s">
        <v>69</v>
      </c>
      <c r="BV5" t="s">
        <v>69</v>
      </c>
    </row>
    <row r="6" spans="1:74" x14ac:dyDescent="0.25">
      <c r="A6">
        <v>7</v>
      </c>
      <c r="B6" t="str">
        <f>HYPERLINK("http://www.ncbi.nlm.nih.gov/protein/XP_008998462.1","XP_008998462.1")</f>
        <v>XP_008998462.1</v>
      </c>
      <c r="C6">
        <v>87664</v>
      </c>
      <c r="D6" t="str">
        <f>HYPERLINK("http://www.ncbi.nlm.nih.gov/Taxonomy/Browser/wwwtax.cgi?mode=Info&amp;id=9483&amp;lvl=3&amp;lin=f&amp;keep=1&amp;srchmode=1&amp;unlock","9483")</f>
        <v>9483</v>
      </c>
      <c r="E6" t="s">
        <v>66</v>
      </c>
      <c r="F6" t="str">
        <f>HYPERLINK("http://www.ncbi.nlm.nih.gov/Taxonomy/Browser/wwwtax.cgi?mode=Info&amp;id=9483&amp;lvl=3&amp;lin=f&amp;keep=1&amp;srchmode=1&amp;unlock","Callithrix jacchus")</f>
        <v>Callithrix jacchus</v>
      </c>
      <c r="G6" t="s">
        <v>106</v>
      </c>
      <c r="H6" t="str">
        <f>HYPERLINK("http://www.ncbi.nlm.nih.gov/protein/XP_008998462.1","ubiquitin-like protein ISG15")</f>
        <v>ubiquitin-like protein ISG15</v>
      </c>
      <c r="I6" t="s">
        <v>261</v>
      </c>
      <c r="J6" t="s">
        <v>69</v>
      </c>
      <c r="K6">
        <v>22</v>
      </c>
      <c r="L6" t="s">
        <v>155</v>
      </c>
      <c r="M6" t="s">
        <v>69</v>
      </c>
      <c r="N6" t="s">
        <v>150</v>
      </c>
      <c r="O6" t="s">
        <v>69</v>
      </c>
      <c r="P6">
        <v>105.093</v>
      </c>
      <c r="Q6" t="s">
        <v>69</v>
      </c>
      <c r="R6" t="s">
        <v>69</v>
      </c>
      <c r="S6">
        <v>123</v>
      </c>
      <c r="T6" t="s">
        <v>250</v>
      </c>
      <c r="U6" t="s">
        <v>69</v>
      </c>
      <c r="V6" t="s">
        <v>152</v>
      </c>
      <c r="W6" t="s">
        <v>69</v>
      </c>
      <c r="X6">
        <v>204.22800000000001</v>
      </c>
      <c r="Y6" t="s">
        <v>69</v>
      </c>
      <c r="Z6" t="s">
        <v>69</v>
      </c>
      <c r="AA6">
        <v>127</v>
      </c>
      <c r="AB6" t="s">
        <v>119</v>
      </c>
      <c r="AC6" t="s">
        <v>69</v>
      </c>
      <c r="AD6" t="s">
        <v>120</v>
      </c>
      <c r="AE6" t="s">
        <v>69</v>
      </c>
      <c r="AF6">
        <v>147.131</v>
      </c>
      <c r="AG6" t="s">
        <v>69</v>
      </c>
      <c r="AH6" t="s">
        <v>69</v>
      </c>
      <c r="AI6">
        <v>128</v>
      </c>
      <c r="AJ6" t="s">
        <v>70</v>
      </c>
      <c r="AK6" t="s">
        <v>69</v>
      </c>
      <c r="AL6" t="s">
        <v>71</v>
      </c>
      <c r="AM6" t="s">
        <v>69</v>
      </c>
      <c r="AN6">
        <v>75.066999999999993</v>
      </c>
      <c r="AO6" t="s">
        <v>69</v>
      </c>
      <c r="AP6" t="s">
        <v>69</v>
      </c>
      <c r="AQ6">
        <v>130</v>
      </c>
      <c r="AR6" t="s">
        <v>146</v>
      </c>
      <c r="AS6" t="s">
        <v>69</v>
      </c>
      <c r="AT6" t="s">
        <v>71</v>
      </c>
      <c r="AU6" t="s">
        <v>69</v>
      </c>
      <c r="AV6">
        <v>115.13200000000001</v>
      </c>
      <c r="AW6" t="s">
        <v>69</v>
      </c>
      <c r="AX6" t="s">
        <v>69</v>
      </c>
      <c r="AY6">
        <v>153</v>
      </c>
      <c r="AZ6" t="s">
        <v>74</v>
      </c>
      <c r="BA6" t="s">
        <v>69</v>
      </c>
      <c r="BB6" t="s">
        <v>75</v>
      </c>
      <c r="BC6" t="s">
        <v>69</v>
      </c>
      <c r="BD6">
        <v>174.203</v>
      </c>
      <c r="BE6" t="s">
        <v>69</v>
      </c>
      <c r="BF6" t="s">
        <v>69</v>
      </c>
      <c r="BG6">
        <v>155</v>
      </c>
      <c r="BH6" t="s">
        <v>74</v>
      </c>
      <c r="BI6" t="s">
        <v>69</v>
      </c>
      <c r="BJ6" t="s">
        <v>75</v>
      </c>
      <c r="BK6" t="s">
        <v>69</v>
      </c>
      <c r="BL6">
        <v>174.203</v>
      </c>
      <c r="BM6" t="s">
        <v>69</v>
      </c>
      <c r="BN6" t="s">
        <v>69</v>
      </c>
      <c r="BO6">
        <v>156</v>
      </c>
      <c r="BP6" t="s">
        <v>70</v>
      </c>
      <c r="BQ6" t="s">
        <v>69</v>
      </c>
      <c r="BR6" t="s">
        <v>71</v>
      </c>
      <c r="BS6" t="s">
        <v>69</v>
      </c>
      <c r="BT6">
        <v>75.066999999999993</v>
      </c>
      <c r="BU6" t="s">
        <v>69</v>
      </c>
      <c r="BV6" t="s">
        <v>69</v>
      </c>
    </row>
    <row r="7" spans="1:74" x14ac:dyDescent="0.25">
      <c r="A7">
        <v>7</v>
      </c>
      <c r="B7" t="str">
        <f>HYPERLINK("http://www.ncbi.nlm.nih.gov/protein/XP_006164142.1","XP_006164142.1")</f>
        <v>XP_006164142.1</v>
      </c>
      <c r="C7">
        <v>59507</v>
      </c>
      <c r="D7" t="str">
        <f>HYPERLINK("http://www.ncbi.nlm.nih.gov/Taxonomy/Browser/wwwtax.cgi?mode=Info&amp;id=246437&amp;lvl=3&amp;lin=f&amp;keep=1&amp;srchmode=1&amp;unlock","246437")</f>
        <v>246437</v>
      </c>
      <c r="E7" t="s">
        <v>66</v>
      </c>
      <c r="F7" t="str">
        <f>HYPERLINK("http://www.ncbi.nlm.nih.gov/Taxonomy/Browser/wwwtax.cgi?mode=Info&amp;id=246437&amp;lvl=3&amp;lin=f&amp;keep=1&amp;srchmode=1&amp;unlock","Tupaia chinensis")</f>
        <v>Tupaia chinensis</v>
      </c>
      <c r="G7" t="s">
        <v>97</v>
      </c>
      <c r="H7" t="str">
        <f>HYPERLINK("http://www.ncbi.nlm.nih.gov/protein/XP_006164142.1","ubiquitin-like protein ISG15 isoform X1")</f>
        <v>ubiquitin-like protein ISG15 isoform X1</v>
      </c>
      <c r="I7" t="s">
        <v>261</v>
      </c>
      <c r="J7" t="s">
        <v>69</v>
      </c>
      <c r="K7">
        <v>22</v>
      </c>
      <c r="L7" t="s">
        <v>155</v>
      </c>
      <c r="M7" t="s">
        <v>69</v>
      </c>
      <c r="N7" t="s">
        <v>150</v>
      </c>
      <c r="O7" t="s">
        <v>69</v>
      </c>
      <c r="P7">
        <v>105.093</v>
      </c>
      <c r="Q7" t="s">
        <v>69</v>
      </c>
      <c r="R7" t="s">
        <v>69</v>
      </c>
      <c r="S7">
        <v>123</v>
      </c>
      <c r="T7" t="s">
        <v>250</v>
      </c>
      <c r="U7" t="s">
        <v>69</v>
      </c>
      <c r="V7" t="s">
        <v>152</v>
      </c>
      <c r="W7" t="s">
        <v>69</v>
      </c>
      <c r="X7">
        <v>204.22800000000001</v>
      </c>
      <c r="Y7" t="s">
        <v>69</v>
      </c>
      <c r="Z7" t="s">
        <v>69</v>
      </c>
      <c r="AA7">
        <v>127</v>
      </c>
      <c r="AB7" t="s">
        <v>119</v>
      </c>
      <c r="AC7" t="s">
        <v>69</v>
      </c>
      <c r="AD7" t="s">
        <v>120</v>
      </c>
      <c r="AE7" t="s">
        <v>69</v>
      </c>
      <c r="AF7">
        <v>147.131</v>
      </c>
      <c r="AG7" t="s">
        <v>69</v>
      </c>
      <c r="AH7" t="s">
        <v>69</v>
      </c>
      <c r="AI7">
        <v>128</v>
      </c>
      <c r="AJ7" t="s">
        <v>70</v>
      </c>
      <c r="AK7" t="s">
        <v>69</v>
      </c>
      <c r="AL7" t="s">
        <v>71</v>
      </c>
      <c r="AM7" t="s">
        <v>69</v>
      </c>
      <c r="AN7">
        <v>75.066999999999993</v>
      </c>
      <c r="AO7" t="s">
        <v>69</v>
      </c>
      <c r="AP7" t="s">
        <v>69</v>
      </c>
      <c r="AQ7">
        <v>130</v>
      </c>
      <c r="AR7" t="s">
        <v>156</v>
      </c>
      <c r="AS7" t="s">
        <v>153</v>
      </c>
      <c r="AT7" t="s">
        <v>120</v>
      </c>
      <c r="AU7" t="s">
        <v>153</v>
      </c>
      <c r="AV7">
        <v>133.10400000000001</v>
      </c>
      <c r="AW7" t="s">
        <v>69</v>
      </c>
      <c r="AX7" t="s">
        <v>69</v>
      </c>
      <c r="AY7">
        <v>153</v>
      </c>
      <c r="AZ7" t="s">
        <v>74</v>
      </c>
      <c r="BA7" t="s">
        <v>69</v>
      </c>
      <c r="BB7" t="s">
        <v>75</v>
      </c>
      <c r="BC7" t="s">
        <v>69</v>
      </c>
      <c r="BD7">
        <v>174.203</v>
      </c>
      <c r="BE7" t="s">
        <v>69</v>
      </c>
      <c r="BF7" t="s">
        <v>69</v>
      </c>
      <c r="BG7">
        <v>155</v>
      </c>
      <c r="BH7" t="s">
        <v>74</v>
      </c>
      <c r="BI7" t="s">
        <v>69</v>
      </c>
      <c r="BJ7" t="s">
        <v>75</v>
      </c>
      <c r="BK7" t="s">
        <v>69</v>
      </c>
      <c r="BL7">
        <v>174.203</v>
      </c>
      <c r="BM7" t="s">
        <v>69</v>
      </c>
      <c r="BN7" t="s">
        <v>69</v>
      </c>
      <c r="BO7">
        <v>156</v>
      </c>
      <c r="BP7" t="s">
        <v>70</v>
      </c>
      <c r="BQ7" t="s">
        <v>69</v>
      </c>
      <c r="BR7" t="s">
        <v>71</v>
      </c>
      <c r="BS7" t="s">
        <v>69</v>
      </c>
      <c r="BT7">
        <v>75.066999999999993</v>
      </c>
      <c r="BU7" t="s">
        <v>69</v>
      </c>
      <c r="BV7" t="s">
        <v>69</v>
      </c>
    </row>
    <row r="8" spans="1:74" x14ac:dyDescent="0.25">
      <c r="A8">
        <v>7</v>
      </c>
      <c r="B8" t="str">
        <f>HYPERLINK("http://www.ncbi.nlm.nih.gov/protein/AFH66859.1","AFH66859.1")</f>
        <v>AFH66859.1</v>
      </c>
      <c r="C8">
        <v>382</v>
      </c>
      <c r="D8" t="str">
        <f>HYPERLINK("http://www.ncbi.nlm.nih.gov/Taxonomy/Browser/wwwtax.cgi?mode=Info&amp;id=37347&amp;lvl=3&amp;lin=f&amp;keep=1&amp;srchmode=1&amp;unlock","37347")</f>
        <v>37347</v>
      </c>
      <c r="E8" t="s">
        <v>66</v>
      </c>
      <c r="F8" t="str">
        <f>HYPERLINK("http://www.ncbi.nlm.nih.gov/Taxonomy/Browser/wwwtax.cgi?mode=Info&amp;id=37347&amp;lvl=3&amp;lin=f&amp;keep=1&amp;srchmode=1&amp;unlock","Tupaia belangeri")</f>
        <v>Tupaia belangeri</v>
      </c>
      <c r="G8" t="s">
        <v>262</v>
      </c>
      <c r="H8" t="str">
        <f>HYPERLINK("http://www.ncbi.nlm.nih.gov/protein/AFH66859.1","ISG15")</f>
        <v>ISG15</v>
      </c>
      <c r="I8" t="s">
        <v>261</v>
      </c>
      <c r="J8" t="s">
        <v>69</v>
      </c>
      <c r="K8">
        <v>22</v>
      </c>
      <c r="L8" t="s">
        <v>155</v>
      </c>
      <c r="M8" t="s">
        <v>69</v>
      </c>
      <c r="N8" t="s">
        <v>150</v>
      </c>
      <c r="O8" t="s">
        <v>69</v>
      </c>
      <c r="P8">
        <v>105.093</v>
      </c>
      <c r="Q8" t="s">
        <v>69</v>
      </c>
      <c r="R8" t="s">
        <v>69</v>
      </c>
      <c r="S8">
        <v>123</v>
      </c>
      <c r="T8" t="s">
        <v>250</v>
      </c>
      <c r="U8" t="s">
        <v>69</v>
      </c>
      <c r="V8" t="s">
        <v>152</v>
      </c>
      <c r="W8" t="s">
        <v>69</v>
      </c>
      <c r="X8">
        <v>204.22800000000001</v>
      </c>
      <c r="Y8" t="s">
        <v>69</v>
      </c>
      <c r="Z8" t="s">
        <v>69</v>
      </c>
      <c r="AA8">
        <v>127</v>
      </c>
      <c r="AB8" t="s">
        <v>119</v>
      </c>
      <c r="AC8" t="s">
        <v>69</v>
      </c>
      <c r="AD8" t="s">
        <v>120</v>
      </c>
      <c r="AE8" t="s">
        <v>69</v>
      </c>
      <c r="AF8">
        <v>147.131</v>
      </c>
      <c r="AG8" t="s">
        <v>69</v>
      </c>
      <c r="AH8" t="s">
        <v>69</v>
      </c>
      <c r="AI8">
        <v>128</v>
      </c>
      <c r="AJ8" t="s">
        <v>70</v>
      </c>
      <c r="AK8" t="s">
        <v>69</v>
      </c>
      <c r="AL8" t="s">
        <v>71</v>
      </c>
      <c r="AM8" t="s">
        <v>69</v>
      </c>
      <c r="AN8">
        <v>75.066999999999993</v>
      </c>
      <c r="AO8" t="s">
        <v>69</v>
      </c>
      <c r="AP8" t="s">
        <v>69</v>
      </c>
      <c r="AQ8">
        <v>130</v>
      </c>
      <c r="AR8" t="s">
        <v>156</v>
      </c>
      <c r="AS8" t="s">
        <v>153</v>
      </c>
      <c r="AT8" t="s">
        <v>120</v>
      </c>
      <c r="AU8" t="s">
        <v>153</v>
      </c>
      <c r="AV8">
        <v>133.10400000000001</v>
      </c>
      <c r="AW8" t="s">
        <v>69</v>
      </c>
      <c r="AX8" t="s">
        <v>69</v>
      </c>
      <c r="AY8">
        <v>153</v>
      </c>
      <c r="AZ8" t="s">
        <v>74</v>
      </c>
      <c r="BA8" t="s">
        <v>69</v>
      </c>
      <c r="BB8" t="s">
        <v>75</v>
      </c>
      <c r="BC8" t="s">
        <v>69</v>
      </c>
      <c r="BD8">
        <v>174.203</v>
      </c>
      <c r="BE8" t="s">
        <v>69</v>
      </c>
      <c r="BF8" t="s">
        <v>69</v>
      </c>
      <c r="BG8">
        <v>155</v>
      </c>
      <c r="BH8" t="s">
        <v>74</v>
      </c>
      <c r="BI8" t="s">
        <v>69</v>
      </c>
      <c r="BJ8" t="s">
        <v>75</v>
      </c>
      <c r="BK8" t="s">
        <v>69</v>
      </c>
      <c r="BL8">
        <v>174.203</v>
      </c>
      <c r="BM8" t="s">
        <v>69</v>
      </c>
      <c r="BN8" t="s">
        <v>69</v>
      </c>
      <c r="BO8">
        <v>156</v>
      </c>
      <c r="BP8" t="s">
        <v>70</v>
      </c>
      <c r="BQ8" t="s">
        <v>69</v>
      </c>
      <c r="BR8" t="s">
        <v>71</v>
      </c>
      <c r="BS8" t="s">
        <v>69</v>
      </c>
      <c r="BT8">
        <v>75.066999999999993</v>
      </c>
      <c r="BU8" t="s">
        <v>69</v>
      </c>
      <c r="BV8" t="s">
        <v>69</v>
      </c>
    </row>
    <row r="9" spans="1:74" x14ac:dyDescent="0.25">
      <c r="A9">
        <v>7</v>
      </c>
      <c r="B9" t="str">
        <f>HYPERLINK("http://www.ncbi.nlm.nih.gov/protein/XP_007094659.1","XP_007094659.1")</f>
        <v>XP_007094659.1</v>
      </c>
      <c r="C9">
        <v>56089</v>
      </c>
      <c r="D9" t="str">
        <f>HYPERLINK("http://www.ncbi.nlm.nih.gov/Taxonomy/Browser/wwwtax.cgi?mode=Info&amp;id=9694&amp;lvl=3&amp;lin=f&amp;keep=1&amp;srchmode=1&amp;unlock","9694")</f>
        <v>9694</v>
      </c>
      <c r="E9" t="s">
        <v>66</v>
      </c>
      <c r="F9" t="str">
        <f>HYPERLINK("http://www.ncbi.nlm.nih.gov/Taxonomy/Browser/wwwtax.cgi?mode=Info&amp;id=9694&amp;lvl=3&amp;lin=f&amp;keep=1&amp;srchmode=1&amp;unlock","Panthera tigris")</f>
        <v>Panthera tigris</v>
      </c>
      <c r="G9" t="s">
        <v>89</v>
      </c>
      <c r="H9" t="str">
        <f>HYPERLINK("http://www.ncbi.nlm.nih.gov/protein/XP_007094659.1","ubiquitin-like protein ISG15")</f>
        <v>ubiquitin-like protein ISG15</v>
      </c>
      <c r="I9" t="s">
        <v>261</v>
      </c>
      <c r="J9" t="s">
        <v>69</v>
      </c>
      <c r="K9">
        <v>22</v>
      </c>
      <c r="L9" t="s">
        <v>153</v>
      </c>
      <c r="M9" t="s">
        <v>153</v>
      </c>
      <c r="N9" t="s">
        <v>148</v>
      </c>
      <c r="O9" t="s">
        <v>153</v>
      </c>
      <c r="P9">
        <v>132.119</v>
      </c>
      <c r="Q9" t="s">
        <v>69</v>
      </c>
      <c r="R9" t="s">
        <v>69</v>
      </c>
      <c r="S9">
        <v>123</v>
      </c>
      <c r="T9" t="s">
        <v>250</v>
      </c>
      <c r="U9" t="s">
        <v>69</v>
      </c>
      <c r="V9" t="s">
        <v>152</v>
      </c>
      <c r="W9" t="s">
        <v>69</v>
      </c>
      <c r="X9">
        <v>204.22800000000001</v>
      </c>
      <c r="Y9" t="s">
        <v>69</v>
      </c>
      <c r="Z9" t="s">
        <v>69</v>
      </c>
      <c r="AA9">
        <v>127</v>
      </c>
      <c r="AB9" t="s">
        <v>119</v>
      </c>
      <c r="AC9" t="s">
        <v>69</v>
      </c>
      <c r="AD9" t="s">
        <v>120</v>
      </c>
      <c r="AE9" t="s">
        <v>69</v>
      </c>
      <c r="AF9">
        <v>147.131</v>
      </c>
      <c r="AG9" t="s">
        <v>69</v>
      </c>
      <c r="AH9" t="s">
        <v>69</v>
      </c>
      <c r="AI9">
        <v>128</v>
      </c>
      <c r="AJ9" t="s">
        <v>70</v>
      </c>
      <c r="AK9" t="s">
        <v>69</v>
      </c>
      <c r="AL9" t="s">
        <v>71</v>
      </c>
      <c r="AM9" t="s">
        <v>69</v>
      </c>
      <c r="AN9">
        <v>75.066999999999993</v>
      </c>
      <c r="AO9" t="s">
        <v>69</v>
      </c>
      <c r="AP9" t="s">
        <v>69</v>
      </c>
      <c r="AQ9">
        <v>130</v>
      </c>
      <c r="AR9" t="s">
        <v>146</v>
      </c>
      <c r="AS9" t="s">
        <v>69</v>
      </c>
      <c r="AT9" t="s">
        <v>71</v>
      </c>
      <c r="AU9" t="s">
        <v>69</v>
      </c>
      <c r="AV9">
        <v>115.13200000000001</v>
      </c>
      <c r="AW9" t="s">
        <v>69</v>
      </c>
      <c r="AX9" t="s">
        <v>69</v>
      </c>
      <c r="AY9">
        <v>153</v>
      </c>
      <c r="AZ9" t="s">
        <v>74</v>
      </c>
      <c r="BA9" t="s">
        <v>69</v>
      </c>
      <c r="BB9" t="s">
        <v>75</v>
      </c>
      <c r="BC9" t="s">
        <v>69</v>
      </c>
      <c r="BD9">
        <v>174.203</v>
      </c>
      <c r="BE9" t="s">
        <v>69</v>
      </c>
      <c r="BF9" t="s">
        <v>69</v>
      </c>
      <c r="BG9">
        <v>155</v>
      </c>
      <c r="BH9" t="s">
        <v>74</v>
      </c>
      <c r="BI9" t="s">
        <v>69</v>
      </c>
      <c r="BJ9" t="s">
        <v>75</v>
      </c>
      <c r="BK9" t="s">
        <v>69</v>
      </c>
      <c r="BL9">
        <v>174.203</v>
      </c>
      <c r="BM9" t="s">
        <v>69</v>
      </c>
      <c r="BN9" t="s">
        <v>69</v>
      </c>
      <c r="BO9">
        <v>156</v>
      </c>
      <c r="BP9" t="s">
        <v>70</v>
      </c>
      <c r="BQ9" t="s">
        <v>69</v>
      </c>
      <c r="BR9" t="s">
        <v>71</v>
      </c>
      <c r="BS9" t="s">
        <v>69</v>
      </c>
      <c r="BT9">
        <v>75.066999999999993</v>
      </c>
      <c r="BU9" t="s">
        <v>69</v>
      </c>
      <c r="BV9" t="s">
        <v>69</v>
      </c>
    </row>
    <row r="10" spans="1:74" x14ac:dyDescent="0.25">
      <c r="A10">
        <v>7</v>
      </c>
      <c r="B10" t="str">
        <f>HYPERLINK("http://www.ncbi.nlm.nih.gov/protein/XP_025768221.1","XP_025768221.1")</f>
        <v>XP_025768221.1</v>
      </c>
      <c r="C10">
        <v>23623</v>
      </c>
      <c r="D10" t="str">
        <f>HYPERLINK("http://www.ncbi.nlm.nih.gov/Taxonomy/Browser/wwwtax.cgi?mode=Info&amp;id=9696&amp;lvl=3&amp;lin=f&amp;keep=1&amp;srchmode=1&amp;unlock","9696")</f>
        <v>9696</v>
      </c>
      <c r="E10" t="s">
        <v>66</v>
      </c>
      <c r="F10" t="str">
        <f>HYPERLINK("http://www.ncbi.nlm.nih.gov/Taxonomy/Browser/wwwtax.cgi?mode=Info&amp;id=9696&amp;lvl=3&amp;lin=f&amp;keep=1&amp;srchmode=1&amp;unlock","Puma concolor")</f>
        <v>Puma concolor</v>
      </c>
      <c r="G10" t="s">
        <v>91</v>
      </c>
      <c r="H10" t="str">
        <f>HYPERLINK("http://www.ncbi.nlm.nih.gov/protein/XP_025768221.1","ubiquitin-like protein ISG15")</f>
        <v>ubiquitin-like protein ISG15</v>
      </c>
      <c r="I10" t="s">
        <v>261</v>
      </c>
      <c r="J10" t="s">
        <v>69</v>
      </c>
      <c r="K10">
        <v>22</v>
      </c>
      <c r="L10" t="s">
        <v>153</v>
      </c>
      <c r="M10" t="s">
        <v>153</v>
      </c>
      <c r="N10" t="s">
        <v>148</v>
      </c>
      <c r="O10" t="s">
        <v>153</v>
      </c>
      <c r="P10">
        <v>132.119</v>
      </c>
      <c r="Q10" t="s">
        <v>69</v>
      </c>
      <c r="R10" t="s">
        <v>69</v>
      </c>
      <c r="S10">
        <v>123</v>
      </c>
      <c r="T10" t="s">
        <v>250</v>
      </c>
      <c r="U10" t="s">
        <v>69</v>
      </c>
      <c r="V10" t="s">
        <v>152</v>
      </c>
      <c r="W10" t="s">
        <v>69</v>
      </c>
      <c r="X10">
        <v>204.22800000000001</v>
      </c>
      <c r="Y10" t="s">
        <v>69</v>
      </c>
      <c r="Z10" t="s">
        <v>69</v>
      </c>
      <c r="AA10">
        <v>127</v>
      </c>
      <c r="AB10" t="s">
        <v>119</v>
      </c>
      <c r="AC10" t="s">
        <v>69</v>
      </c>
      <c r="AD10" t="s">
        <v>120</v>
      </c>
      <c r="AE10" t="s">
        <v>69</v>
      </c>
      <c r="AF10">
        <v>147.131</v>
      </c>
      <c r="AG10" t="s">
        <v>69</v>
      </c>
      <c r="AH10" t="s">
        <v>69</v>
      </c>
      <c r="AI10">
        <v>128</v>
      </c>
      <c r="AJ10" t="s">
        <v>70</v>
      </c>
      <c r="AK10" t="s">
        <v>69</v>
      </c>
      <c r="AL10" t="s">
        <v>71</v>
      </c>
      <c r="AM10" t="s">
        <v>69</v>
      </c>
      <c r="AN10">
        <v>75.066999999999993</v>
      </c>
      <c r="AO10" t="s">
        <v>69</v>
      </c>
      <c r="AP10" t="s">
        <v>69</v>
      </c>
      <c r="AQ10">
        <v>130</v>
      </c>
      <c r="AR10" t="s">
        <v>146</v>
      </c>
      <c r="AS10" t="s">
        <v>69</v>
      </c>
      <c r="AT10" t="s">
        <v>71</v>
      </c>
      <c r="AU10" t="s">
        <v>69</v>
      </c>
      <c r="AV10">
        <v>115.13200000000001</v>
      </c>
      <c r="AW10" t="s">
        <v>69</v>
      </c>
      <c r="AX10" t="s">
        <v>69</v>
      </c>
      <c r="AY10">
        <v>153</v>
      </c>
      <c r="AZ10" t="s">
        <v>74</v>
      </c>
      <c r="BA10" t="s">
        <v>69</v>
      </c>
      <c r="BB10" t="s">
        <v>75</v>
      </c>
      <c r="BC10" t="s">
        <v>69</v>
      </c>
      <c r="BD10">
        <v>174.203</v>
      </c>
      <c r="BE10" t="s">
        <v>69</v>
      </c>
      <c r="BF10" t="s">
        <v>69</v>
      </c>
      <c r="BG10">
        <v>155</v>
      </c>
      <c r="BH10" t="s">
        <v>74</v>
      </c>
      <c r="BI10" t="s">
        <v>69</v>
      </c>
      <c r="BJ10" t="s">
        <v>75</v>
      </c>
      <c r="BK10" t="s">
        <v>69</v>
      </c>
      <c r="BL10">
        <v>174.203</v>
      </c>
      <c r="BM10" t="s">
        <v>69</v>
      </c>
      <c r="BN10" t="s">
        <v>69</v>
      </c>
      <c r="BO10">
        <v>156</v>
      </c>
      <c r="BP10" t="s">
        <v>70</v>
      </c>
      <c r="BQ10" t="s">
        <v>69</v>
      </c>
      <c r="BR10" t="s">
        <v>71</v>
      </c>
      <c r="BS10" t="s">
        <v>69</v>
      </c>
      <c r="BT10">
        <v>75.066999999999993</v>
      </c>
      <c r="BU10" t="s">
        <v>69</v>
      </c>
      <c r="BV10" t="s">
        <v>69</v>
      </c>
    </row>
    <row r="11" spans="1:74" x14ac:dyDescent="0.25">
      <c r="A11">
        <v>7</v>
      </c>
      <c r="B11" t="str">
        <f>HYPERLINK("http://www.ncbi.nlm.nih.gov/protein/XP_042807118.1","XP_042807118.1")</f>
        <v>XP_042807118.1</v>
      </c>
      <c r="C11">
        <v>53677</v>
      </c>
      <c r="D11" t="str">
        <f>HYPERLINK("http://www.ncbi.nlm.nih.gov/Taxonomy/Browser/wwwtax.cgi?mode=Info&amp;id=9689&amp;lvl=3&amp;lin=f&amp;keep=1&amp;srchmode=1&amp;unlock","9689")</f>
        <v>9689</v>
      </c>
      <c r="E11" t="s">
        <v>66</v>
      </c>
      <c r="F11" t="str">
        <f>HYPERLINK("http://www.ncbi.nlm.nih.gov/Taxonomy/Browser/wwwtax.cgi?mode=Info&amp;id=9689&amp;lvl=3&amp;lin=f&amp;keep=1&amp;srchmode=1&amp;unlock","Panthera leo")</f>
        <v>Panthera leo</v>
      </c>
      <c r="G11" t="s">
        <v>90</v>
      </c>
      <c r="H11" t="str">
        <f>HYPERLINK("http://www.ncbi.nlm.nih.gov/protein/XP_042807118.1","ubiquitin-like protein ISG15")</f>
        <v>ubiquitin-like protein ISG15</v>
      </c>
      <c r="I11" t="s">
        <v>261</v>
      </c>
      <c r="J11" t="s">
        <v>69</v>
      </c>
      <c r="K11">
        <v>22</v>
      </c>
      <c r="L11" t="s">
        <v>153</v>
      </c>
      <c r="M11" t="s">
        <v>153</v>
      </c>
      <c r="N11" t="s">
        <v>148</v>
      </c>
      <c r="O11" t="s">
        <v>153</v>
      </c>
      <c r="P11">
        <v>132.119</v>
      </c>
      <c r="Q11" t="s">
        <v>69</v>
      </c>
      <c r="R11" t="s">
        <v>69</v>
      </c>
      <c r="S11">
        <v>123</v>
      </c>
      <c r="T11" t="s">
        <v>250</v>
      </c>
      <c r="U11" t="s">
        <v>69</v>
      </c>
      <c r="V11" t="s">
        <v>152</v>
      </c>
      <c r="W11" t="s">
        <v>69</v>
      </c>
      <c r="X11">
        <v>204.22800000000001</v>
      </c>
      <c r="Y11" t="s">
        <v>69</v>
      </c>
      <c r="Z11" t="s">
        <v>69</v>
      </c>
      <c r="AA11">
        <v>127</v>
      </c>
      <c r="AB11" t="s">
        <v>119</v>
      </c>
      <c r="AC11" t="s">
        <v>69</v>
      </c>
      <c r="AD11" t="s">
        <v>120</v>
      </c>
      <c r="AE11" t="s">
        <v>69</v>
      </c>
      <c r="AF11">
        <v>147.131</v>
      </c>
      <c r="AG11" t="s">
        <v>69</v>
      </c>
      <c r="AH11" t="s">
        <v>69</v>
      </c>
      <c r="AI11">
        <v>128</v>
      </c>
      <c r="AJ11" t="s">
        <v>70</v>
      </c>
      <c r="AK11" t="s">
        <v>69</v>
      </c>
      <c r="AL11" t="s">
        <v>71</v>
      </c>
      <c r="AM11" t="s">
        <v>69</v>
      </c>
      <c r="AN11">
        <v>75.066999999999993</v>
      </c>
      <c r="AO11" t="s">
        <v>69</v>
      </c>
      <c r="AP11" t="s">
        <v>69</v>
      </c>
      <c r="AQ11">
        <v>130</v>
      </c>
      <c r="AR11" t="s">
        <v>146</v>
      </c>
      <c r="AS11" t="s">
        <v>69</v>
      </c>
      <c r="AT11" t="s">
        <v>71</v>
      </c>
      <c r="AU11" t="s">
        <v>69</v>
      </c>
      <c r="AV11">
        <v>115.13200000000001</v>
      </c>
      <c r="AW11" t="s">
        <v>69</v>
      </c>
      <c r="AX11" t="s">
        <v>69</v>
      </c>
      <c r="AY11">
        <v>153</v>
      </c>
      <c r="AZ11" t="s">
        <v>74</v>
      </c>
      <c r="BA11" t="s">
        <v>69</v>
      </c>
      <c r="BB11" t="s">
        <v>75</v>
      </c>
      <c r="BC11" t="s">
        <v>69</v>
      </c>
      <c r="BD11">
        <v>174.203</v>
      </c>
      <c r="BE11" t="s">
        <v>69</v>
      </c>
      <c r="BF11" t="s">
        <v>69</v>
      </c>
      <c r="BG11">
        <v>155</v>
      </c>
      <c r="BH11" t="s">
        <v>74</v>
      </c>
      <c r="BI11" t="s">
        <v>69</v>
      </c>
      <c r="BJ11" t="s">
        <v>75</v>
      </c>
      <c r="BK11" t="s">
        <v>69</v>
      </c>
      <c r="BL11">
        <v>174.203</v>
      </c>
      <c r="BM11" t="s">
        <v>69</v>
      </c>
      <c r="BN11" t="s">
        <v>69</v>
      </c>
      <c r="BO11">
        <v>156</v>
      </c>
      <c r="BP11" t="s">
        <v>70</v>
      </c>
      <c r="BQ11" t="s">
        <v>69</v>
      </c>
      <c r="BR11" t="s">
        <v>71</v>
      </c>
      <c r="BS11" t="s">
        <v>69</v>
      </c>
      <c r="BT11">
        <v>75.066999999999993</v>
      </c>
      <c r="BU11" t="s">
        <v>69</v>
      </c>
      <c r="BV11" t="s">
        <v>69</v>
      </c>
    </row>
    <row r="12" spans="1:74" x14ac:dyDescent="0.25">
      <c r="A12">
        <v>7</v>
      </c>
      <c r="B12" t="str">
        <f>HYPERLINK("http://www.ncbi.nlm.nih.gov/protein/BAG50252.1","BAG50252.1")</f>
        <v>BAG50252.1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HYPERLINK("http://www.ncbi.nlm.nih.gov/protein/BAG50252.1","ISG15 ubiquitin-like modifier")</f>
        <v>ISG15 ubiquitin-like modifier</v>
      </c>
      <c r="I12" t="s">
        <v>261</v>
      </c>
      <c r="J12" t="s">
        <v>69</v>
      </c>
      <c r="K12">
        <v>22</v>
      </c>
      <c r="L12" t="s">
        <v>153</v>
      </c>
      <c r="M12" t="s">
        <v>153</v>
      </c>
      <c r="N12" t="s">
        <v>148</v>
      </c>
      <c r="O12" t="s">
        <v>153</v>
      </c>
      <c r="P12">
        <v>132.119</v>
      </c>
      <c r="Q12" t="s">
        <v>69</v>
      </c>
      <c r="R12" t="s">
        <v>69</v>
      </c>
      <c r="S12">
        <v>123</v>
      </c>
      <c r="T12" t="s">
        <v>250</v>
      </c>
      <c r="U12" t="s">
        <v>69</v>
      </c>
      <c r="V12" t="s">
        <v>152</v>
      </c>
      <c r="W12" t="s">
        <v>69</v>
      </c>
      <c r="X12">
        <v>204.22800000000001</v>
      </c>
      <c r="Y12" t="s">
        <v>69</v>
      </c>
      <c r="Z12" t="s">
        <v>69</v>
      </c>
      <c r="AA12">
        <v>127</v>
      </c>
      <c r="AB12" t="s">
        <v>119</v>
      </c>
      <c r="AC12" t="s">
        <v>69</v>
      </c>
      <c r="AD12" t="s">
        <v>120</v>
      </c>
      <c r="AE12" t="s">
        <v>69</v>
      </c>
      <c r="AF12">
        <v>147.131</v>
      </c>
      <c r="AG12" t="s">
        <v>69</v>
      </c>
      <c r="AH12" t="s">
        <v>69</v>
      </c>
      <c r="AI12">
        <v>128</v>
      </c>
      <c r="AJ12" t="s">
        <v>70</v>
      </c>
      <c r="AK12" t="s">
        <v>69</v>
      </c>
      <c r="AL12" t="s">
        <v>71</v>
      </c>
      <c r="AM12" t="s">
        <v>69</v>
      </c>
      <c r="AN12">
        <v>75.066999999999993</v>
      </c>
      <c r="AO12" t="s">
        <v>69</v>
      </c>
      <c r="AP12" t="s">
        <v>69</v>
      </c>
      <c r="AQ12">
        <v>130</v>
      </c>
      <c r="AR12" t="s">
        <v>146</v>
      </c>
      <c r="AS12" t="s">
        <v>69</v>
      </c>
      <c r="AT12" t="s">
        <v>71</v>
      </c>
      <c r="AU12" t="s">
        <v>69</v>
      </c>
      <c r="AV12">
        <v>115.13200000000001</v>
      </c>
      <c r="AW12" t="s">
        <v>69</v>
      </c>
      <c r="AX12" t="s">
        <v>69</v>
      </c>
      <c r="AY12">
        <v>153</v>
      </c>
      <c r="AZ12" t="s">
        <v>74</v>
      </c>
      <c r="BA12" t="s">
        <v>69</v>
      </c>
      <c r="BB12" t="s">
        <v>75</v>
      </c>
      <c r="BC12" t="s">
        <v>69</v>
      </c>
      <c r="BD12">
        <v>174.203</v>
      </c>
      <c r="BE12" t="s">
        <v>69</v>
      </c>
      <c r="BF12" t="s">
        <v>69</v>
      </c>
      <c r="BG12">
        <v>155</v>
      </c>
      <c r="BH12" t="s">
        <v>74</v>
      </c>
      <c r="BI12" t="s">
        <v>69</v>
      </c>
      <c r="BJ12" t="s">
        <v>75</v>
      </c>
      <c r="BK12" t="s">
        <v>69</v>
      </c>
      <c r="BL12">
        <v>174.203</v>
      </c>
      <c r="BM12" t="s">
        <v>69</v>
      </c>
      <c r="BN12" t="s">
        <v>69</v>
      </c>
      <c r="BO12">
        <v>156</v>
      </c>
      <c r="BP12" t="s">
        <v>70</v>
      </c>
      <c r="BQ12" t="s">
        <v>69</v>
      </c>
      <c r="BR12" t="s">
        <v>71</v>
      </c>
      <c r="BS12" t="s">
        <v>69</v>
      </c>
      <c r="BT12">
        <v>75.066999999999993</v>
      </c>
      <c r="BU12" t="s">
        <v>69</v>
      </c>
      <c r="BV12" t="s">
        <v>69</v>
      </c>
    </row>
    <row r="13" spans="1:74" x14ac:dyDescent="0.25">
      <c r="A13">
        <v>7</v>
      </c>
      <c r="B13" t="str">
        <f>HYPERLINK("http://www.ncbi.nlm.nih.gov/protein/XP_044092193.1","XP_044092193.1")</f>
        <v>XP_044092193.1</v>
      </c>
      <c r="C13">
        <v>44640</v>
      </c>
      <c r="D13" t="str">
        <f>HYPERLINK("http://www.ncbi.nlm.nih.gov/Taxonomy/Browser/wwwtax.cgi?mode=Info&amp;id=452646&amp;lvl=3&amp;lin=f&amp;keep=1&amp;srchmode=1&amp;unlock","452646")</f>
        <v>452646</v>
      </c>
      <c r="E13" t="s">
        <v>66</v>
      </c>
      <c r="F13" t="str">
        <f>HYPERLINK("http://www.ncbi.nlm.nih.gov/Taxonomy/Browser/wwwtax.cgi?mode=Info&amp;id=452646&amp;lvl=3&amp;lin=f&amp;keep=1&amp;srchmode=1&amp;unlock","Neogale vison")</f>
        <v>Neogale vison</v>
      </c>
      <c r="G13" t="s">
        <v>96</v>
      </c>
      <c r="H13" t="str">
        <f>HYPERLINK("http://www.ncbi.nlm.nih.gov/protein/XP_044092193.1","ubiquitin-like protein ISG15")</f>
        <v>ubiquitin-like protein ISG15</v>
      </c>
      <c r="I13" t="s">
        <v>261</v>
      </c>
      <c r="J13" t="s">
        <v>69</v>
      </c>
      <c r="K13">
        <v>22</v>
      </c>
      <c r="L13" t="s">
        <v>155</v>
      </c>
      <c r="M13" t="s">
        <v>69</v>
      </c>
      <c r="N13" t="s">
        <v>150</v>
      </c>
      <c r="O13" t="s">
        <v>69</v>
      </c>
      <c r="P13">
        <v>105.093</v>
      </c>
      <c r="Q13" t="s">
        <v>69</v>
      </c>
      <c r="R13" t="s">
        <v>69</v>
      </c>
      <c r="S13">
        <v>123</v>
      </c>
      <c r="T13" t="s">
        <v>250</v>
      </c>
      <c r="U13" t="s">
        <v>69</v>
      </c>
      <c r="V13" t="s">
        <v>152</v>
      </c>
      <c r="W13" t="s">
        <v>69</v>
      </c>
      <c r="X13">
        <v>204.22800000000001</v>
      </c>
      <c r="Y13" t="s">
        <v>69</v>
      </c>
      <c r="Z13" t="s">
        <v>69</v>
      </c>
      <c r="AA13">
        <v>127</v>
      </c>
      <c r="AB13" t="s">
        <v>147</v>
      </c>
      <c r="AC13" t="s">
        <v>153</v>
      </c>
      <c r="AD13" t="s">
        <v>148</v>
      </c>
      <c r="AE13" t="s">
        <v>153</v>
      </c>
      <c r="AF13">
        <v>146.14599999999999</v>
      </c>
      <c r="AG13" t="s">
        <v>69</v>
      </c>
      <c r="AH13" t="s">
        <v>69</v>
      </c>
      <c r="AI13">
        <v>128</v>
      </c>
      <c r="AJ13" t="s">
        <v>70</v>
      </c>
      <c r="AK13" t="s">
        <v>69</v>
      </c>
      <c r="AL13" t="s">
        <v>71</v>
      </c>
      <c r="AM13" t="s">
        <v>69</v>
      </c>
      <c r="AN13">
        <v>75.066999999999993</v>
      </c>
      <c r="AO13" t="s">
        <v>69</v>
      </c>
      <c r="AP13" t="s">
        <v>69</v>
      </c>
      <c r="AQ13">
        <v>130</v>
      </c>
      <c r="AR13" t="s">
        <v>146</v>
      </c>
      <c r="AS13" t="s">
        <v>69</v>
      </c>
      <c r="AT13" t="s">
        <v>71</v>
      </c>
      <c r="AU13" t="s">
        <v>69</v>
      </c>
      <c r="AV13">
        <v>115.13200000000001</v>
      </c>
      <c r="AW13" t="s">
        <v>69</v>
      </c>
      <c r="AX13" t="s">
        <v>69</v>
      </c>
      <c r="AY13">
        <v>153</v>
      </c>
      <c r="AZ13" t="s">
        <v>74</v>
      </c>
      <c r="BA13" t="s">
        <v>69</v>
      </c>
      <c r="BB13" t="s">
        <v>75</v>
      </c>
      <c r="BC13" t="s">
        <v>69</v>
      </c>
      <c r="BD13">
        <v>174.203</v>
      </c>
      <c r="BE13" t="s">
        <v>69</v>
      </c>
      <c r="BF13" t="s">
        <v>69</v>
      </c>
      <c r="BG13">
        <v>155</v>
      </c>
      <c r="BH13" t="s">
        <v>74</v>
      </c>
      <c r="BI13" t="s">
        <v>69</v>
      </c>
      <c r="BJ13" t="s">
        <v>75</v>
      </c>
      <c r="BK13" t="s">
        <v>69</v>
      </c>
      <c r="BL13">
        <v>174.203</v>
      </c>
      <c r="BM13" t="s">
        <v>69</v>
      </c>
      <c r="BN13" t="s">
        <v>69</v>
      </c>
      <c r="BO13">
        <v>156</v>
      </c>
      <c r="BP13" t="s">
        <v>70</v>
      </c>
      <c r="BQ13" t="s">
        <v>69</v>
      </c>
      <c r="BR13" t="s">
        <v>71</v>
      </c>
      <c r="BS13" t="s">
        <v>69</v>
      </c>
      <c r="BT13">
        <v>75.066999999999993</v>
      </c>
      <c r="BU13" t="s">
        <v>69</v>
      </c>
      <c r="BV13" t="s">
        <v>69</v>
      </c>
    </row>
    <row r="14" spans="1:74" x14ac:dyDescent="0.25">
      <c r="A14">
        <v>7</v>
      </c>
      <c r="B14" t="str">
        <f>HYPERLINK("http://www.ncbi.nlm.nih.gov/protein/XP_030181285.1","XP_030181285.1")</f>
        <v>XP_030181285.1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HYPERLINK("http://www.ncbi.nlm.nih.gov/protein/XP_030181285.1","ubiquitin-like protein ISG15")</f>
        <v>ubiquitin-like protein ISG15</v>
      </c>
      <c r="I14" t="s">
        <v>261</v>
      </c>
      <c r="J14" t="s">
        <v>69</v>
      </c>
      <c r="K14">
        <v>22</v>
      </c>
      <c r="L14" t="s">
        <v>153</v>
      </c>
      <c r="M14" t="s">
        <v>153</v>
      </c>
      <c r="N14" t="s">
        <v>148</v>
      </c>
      <c r="O14" t="s">
        <v>153</v>
      </c>
      <c r="P14">
        <v>132.119</v>
      </c>
      <c r="Q14" t="s">
        <v>69</v>
      </c>
      <c r="R14" t="s">
        <v>69</v>
      </c>
      <c r="S14">
        <v>123</v>
      </c>
      <c r="T14" t="s">
        <v>250</v>
      </c>
      <c r="U14" t="s">
        <v>69</v>
      </c>
      <c r="V14" t="s">
        <v>152</v>
      </c>
      <c r="W14" t="s">
        <v>69</v>
      </c>
      <c r="X14">
        <v>204.22800000000001</v>
      </c>
      <c r="Y14" t="s">
        <v>69</v>
      </c>
      <c r="Z14" t="s">
        <v>69</v>
      </c>
      <c r="AA14">
        <v>127</v>
      </c>
      <c r="AB14" t="s">
        <v>119</v>
      </c>
      <c r="AC14" t="s">
        <v>69</v>
      </c>
      <c r="AD14" t="s">
        <v>120</v>
      </c>
      <c r="AE14" t="s">
        <v>69</v>
      </c>
      <c r="AF14">
        <v>147.131</v>
      </c>
      <c r="AG14" t="s">
        <v>69</v>
      </c>
      <c r="AH14" t="s">
        <v>69</v>
      </c>
      <c r="AI14">
        <v>128</v>
      </c>
      <c r="AJ14" t="s">
        <v>70</v>
      </c>
      <c r="AK14" t="s">
        <v>69</v>
      </c>
      <c r="AL14" t="s">
        <v>71</v>
      </c>
      <c r="AM14" t="s">
        <v>69</v>
      </c>
      <c r="AN14">
        <v>75.066999999999993</v>
      </c>
      <c r="AO14" t="s">
        <v>69</v>
      </c>
      <c r="AP14" t="s">
        <v>69</v>
      </c>
      <c r="AQ14">
        <v>130</v>
      </c>
      <c r="AR14" t="s">
        <v>146</v>
      </c>
      <c r="AS14" t="s">
        <v>69</v>
      </c>
      <c r="AT14" t="s">
        <v>71</v>
      </c>
      <c r="AU14" t="s">
        <v>69</v>
      </c>
      <c r="AV14">
        <v>115.13200000000001</v>
      </c>
      <c r="AW14" t="s">
        <v>69</v>
      </c>
      <c r="AX14" t="s">
        <v>69</v>
      </c>
      <c r="AY14">
        <v>153</v>
      </c>
      <c r="AZ14" t="s">
        <v>74</v>
      </c>
      <c r="BA14" t="s">
        <v>69</v>
      </c>
      <c r="BB14" t="s">
        <v>75</v>
      </c>
      <c r="BC14" t="s">
        <v>69</v>
      </c>
      <c r="BD14">
        <v>174.203</v>
      </c>
      <c r="BE14" t="s">
        <v>69</v>
      </c>
      <c r="BF14" t="s">
        <v>69</v>
      </c>
      <c r="BG14">
        <v>155</v>
      </c>
      <c r="BH14" t="s">
        <v>74</v>
      </c>
      <c r="BI14" t="s">
        <v>69</v>
      </c>
      <c r="BJ14" t="s">
        <v>75</v>
      </c>
      <c r="BK14" t="s">
        <v>69</v>
      </c>
      <c r="BL14">
        <v>174.203</v>
      </c>
      <c r="BM14" t="s">
        <v>69</v>
      </c>
      <c r="BN14" t="s">
        <v>69</v>
      </c>
      <c r="BO14">
        <v>156</v>
      </c>
      <c r="BP14" t="s">
        <v>70</v>
      </c>
      <c r="BQ14" t="s">
        <v>69</v>
      </c>
      <c r="BR14" t="s">
        <v>71</v>
      </c>
      <c r="BS14" t="s">
        <v>69</v>
      </c>
      <c r="BT14">
        <v>75.066999999999993</v>
      </c>
      <c r="BU14" t="s">
        <v>69</v>
      </c>
      <c r="BV14" t="s">
        <v>69</v>
      </c>
    </row>
    <row r="15" spans="1:74" x14ac:dyDescent="0.25">
      <c r="A15">
        <v>7</v>
      </c>
      <c r="B15" t="str">
        <f>HYPERLINK("http://www.ncbi.nlm.nih.gov/protein/XP_047726302.1","XP_047726302.1")</f>
        <v>XP_047726302.1</v>
      </c>
      <c r="C15">
        <v>56399</v>
      </c>
      <c r="D15" t="str">
        <f>HYPERLINK("http://www.ncbi.nlm.nih.gov/Taxonomy/Browser/wwwtax.cgi?mode=Info&amp;id=61388&amp;lvl=3&amp;lin=f&amp;keep=1&amp;srchmode=1&amp;unlock","61388")</f>
        <v>61388</v>
      </c>
      <c r="E15" t="s">
        <v>66</v>
      </c>
      <c r="F15" t="str">
        <f>HYPERLINK("http://www.ncbi.nlm.nih.gov/Taxonomy/Browser/wwwtax.cgi?mode=Info&amp;id=61388&amp;lvl=3&amp;lin=f&amp;keep=1&amp;srchmode=1&amp;unlock","Prionailurus viverrinus")</f>
        <v>Prionailurus viverrinus</v>
      </c>
      <c r="G15" t="s">
        <v>94</v>
      </c>
      <c r="H15" t="str">
        <f>HYPERLINK("http://www.ncbi.nlm.nih.gov/protein/XP_047726302.1","ubiquitin-like protein ISG15")</f>
        <v>ubiquitin-like protein ISG15</v>
      </c>
      <c r="I15" t="s">
        <v>261</v>
      </c>
      <c r="J15" t="s">
        <v>69</v>
      </c>
      <c r="K15">
        <v>22</v>
      </c>
      <c r="L15" t="s">
        <v>153</v>
      </c>
      <c r="M15" t="s">
        <v>153</v>
      </c>
      <c r="N15" t="s">
        <v>148</v>
      </c>
      <c r="O15" t="s">
        <v>153</v>
      </c>
      <c r="P15">
        <v>132.119</v>
      </c>
      <c r="Q15" t="s">
        <v>69</v>
      </c>
      <c r="R15" t="s">
        <v>69</v>
      </c>
      <c r="S15">
        <v>123</v>
      </c>
      <c r="T15" t="s">
        <v>250</v>
      </c>
      <c r="U15" t="s">
        <v>69</v>
      </c>
      <c r="V15" t="s">
        <v>152</v>
      </c>
      <c r="W15" t="s">
        <v>69</v>
      </c>
      <c r="X15">
        <v>204.22800000000001</v>
      </c>
      <c r="Y15" t="s">
        <v>69</v>
      </c>
      <c r="Z15" t="s">
        <v>69</v>
      </c>
      <c r="AA15">
        <v>127</v>
      </c>
      <c r="AB15" t="s">
        <v>119</v>
      </c>
      <c r="AC15" t="s">
        <v>69</v>
      </c>
      <c r="AD15" t="s">
        <v>120</v>
      </c>
      <c r="AE15" t="s">
        <v>69</v>
      </c>
      <c r="AF15">
        <v>147.131</v>
      </c>
      <c r="AG15" t="s">
        <v>69</v>
      </c>
      <c r="AH15" t="s">
        <v>69</v>
      </c>
      <c r="AI15">
        <v>128</v>
      </c>
      <c r="AJ15" t="s">
        <v>70</v>
      </c>
      <c r="AK15" t="s">
        <v>69</v>
      </c>
      <c r="AL15" t="s">
        <v>71</v>
      </c>
      <c r="AM15" t="s">
        <v>69</v>
      </c>
      <c r="AN15">
        <v>75.066999999999993</v>
      </c>
      <c r="AO15" t="s">
        <v>69</v>
      </c>
      <c r="AP15" t="s">
        <v>69</v>
      </c>
      <c r="AQ15">
        <v>130</v>
      </c>
      <c r="AR15" t="s">
        <v>146</v>
      </c>
      <c r="AS15" t="s">
        <v>69</v>
      </c>
      <c r="AT15" t="s">
        <v>71</v>
      </c>
      <c r="AU15" t="s">
        <v>69</v>
      </c>
      <c r="AV15">
        <v>115.13200000000001</v>
      </c>
      <c r="AW15" t="s">
        <v>69</v>
      </c>
      <c r="AX15" t="s">
        <v>69</v>
      </c>
      <c r="AY15">
        <v>153</v>
      </c>
      <c r="AZ15" t="s">
        <v>74</v>
      </c>
      <c r="BA15" t="s">
        <v>69</v>
      </c>
      <c r="BB15" t="s">
        <v>75</v>
      </c>
      <c r="BC15" t="s">
        <v>69</v>
      </c>
      <c r="BD15">
        <v>174.203</v>
      </c>
      <c r="BE15" t="s">
        <v>69</v>
      </c>
      <c r="BF15" t="s">
        <v>69</v>
      </c>
      <c r="BG15">
        <v>155</v>
      </c>
      <c r="BH15" t="s">
        <v>74</v>
      </c>
      <c r="BI15" t="s">
        <v>69</v>
      </c>
      <c r="BJ15" t="s">
        <v>75</v>
      </c>
      <c r="BK15" t="s">
        <v>69</v>
      </c>
      <c r="BL15">
        <v>174.203</v>
      </c>
      <c r="BM15" t="s">
        <v>69</v>
      </c>
      <c r="BN15" t="s">
        <v>69</v>
      </c>
      <c r="BO15">
        <v>156</v>
      </c>
      <c r="BP15" t="s">
        <v>70</v>
      </c>
      <c r="BQ15" t="s">
        <v>69</v>
      </c>
      <c r="BR15" t="s">
        <v>71</v>
      </c>
      <c r="BS15" t="s">
        <v>69</v>
      </c>
      <c r="BT15">
        <v>75.066999999999993</v>
      </c>
      <c r="BU15" t="s">
        <v>69</v>
      </c>
      <c r="BV15" t="s">
        <v>69</v>
      </c>
    </row>
    <row r="16" spans="1:74" x14ac:dyDescent="0.25">
      <c r="A16">
        <v>7</v>
      </c>
      <c r="B16" t="str">
        <f>HYPERLINK("http://www.ncbi.nlm.nih.gov/protein/CAD7689432.1","CAD7689432.1")</f>
        <v>CAD7689432.1</v>
      </c>
      <c r="C16">
        <v>27271</v>
      </c>
      <c r="D16" t="str">
        <f>HYPERLINK("http://www.ncbi.nlm.nih.gov/Taxonomy/Browser/wwwtax.cgi?mode=Info&amp;id=34880&amp;lvl=3&amp;lin=f&amp;keep=1&amp;srchmode=1&amp;unlock","34880")</f>
        <v>34880</v>
      </c>
      <c r="E16" t="s">
        <v>66</v>
      </c>
      <c r="F16" t="str">
        <f>HYPERLINK("http://www.ncbi.nlm.nih.gov/Taxonomy/Browser/wwwtax.cgi?mode=Info&amp;id=34880&amp;lvl=3&amp;lin=f&amp;keep=1&amp;srchmode=1&amp;unlock","Nyctereutes procyonoides")</f>
        <v>Nyctereutes procyonoides</v>
      </c>
      <c r="G16" t="s">
        <v>92</v>
      </c>
      <c r="H16" t="str">
        <f>HYPERLINK("http://www.ncbi.nlm.nih.gov/protein/CAD7689432.1","unnamed protein product")</f>
        <v>unnamed protein product</v>
      </c>
      <c r="I16" t="s">
        <v>261</v>
      </c>
      <c r="J16" t="s">
        <v>69</v>
      </c>
      <c r="K16">
        <v>22</v>
      </c>
      <c r="L16" t="s">
        <v>155</v>
      </c>
      <c r="M16" t="s">
        <v>69</v>
      </c>
      <c r="N16" t="s">
        <v>150</v>
      </c>
      <c r="O16" t="s">
        <v>69</v>
      </c>
      <c r="P16">
        <v>105.093</v>
      </c>
      <c r="Q16" t="s">
        <v>69</v>
      </c>
      <c r="R16" t="s">
        <v>69</v>
      </c>
      <c r="S16">
        <v>123</v>
      </c>
      <c r="T16" t="s">
        <v>250</v>
      </c>
      <c r="U16" t="s">
        <v>69</v>
      </c>
      <c r="V16" t="s">
        <v>152</v>
      </c>
      <c r="W16" t="s">
        <v>69</v>
      </c>
      <c r="X16">
        <v>204.22800000000001</v>
      </c>
      <c r="Y16" t="s">
        <v>69</v>
      </c>
      <c r="Z16" t="s">
        <v>69</v>
      </c>
      <c r="AA16">
        <v>127</v>
      </c>
      <c r="AB16" t="s">
        <v>119</v>
      </c>
      <c r="AC16" t="s">
        <v>69</v>
      </c>
      <c r="AD16" t="s">
        <v>120</v>
      </c>
      <c r="AE16" t="s">
        <v>69</v>
      </c>
      <c r="AF16">
        <v>147.131</v>
      </c>
      <c r="AG16" t="s">
        <v>69</v>
      </c>
      <c r="AH16" t="s">
        <v>69</v>
      </c>
      <c r="AI16">
        <v>128</v>
      </c>
      <c r="AJ16" t="s">
        <v>70</v>
      </c>
      <c r="AK16" t="s">
        <v>69</v>
      </c>
      <c r="AL16" t="s">
        <v>71</v>
      </c>
      <c r="AM16" t="s">
        <v>69</v>
      </c>
      <c r="AN16">
        <v>75.066999999999993</v>
      </c>
      <c r="AO16" t="s">
        <v>69</v>
      </c>
      <c r="AP16" t="s">
        <v>69</v>
      </c>
      <c r="AQ16">
        <v>130</v>
      </c>
      <c r="AR16" t="s">
        <v>146</v>
      </c>
      <c r="AS16" t="s">
        <v>69</v>
      </c>
      <c r="AT16" t="s">
        <v>71</v>
      </c>
      <c r="AU16" t="s">
        <v>69</v>
      </c>
      <c r="AV16">
        <v>115.13200000000001</v>
      </c>
      <c r="AW16" t="s">
        <v>69</v>
      </c>
      <c r="AX16" t="s">
        <v>69</v>
      </c>
      <c r="AY16">
        <v>153</v>
      </c>
      <c r="AZ16" t="s">
        <v>74</v>
      </c>
      <c r="BA16" t="s">
        <v>69</v>
      </c>
      <c r="BB16" t="s">
        <v>75</v>
      </c>
      <c r="BC16" t="s">
        <v>69</v>
      </c>
      <c r="BD16">
        <v>174.203</v>
      </c>
      <c r="BE16" t="s">
        <v>69</v>
      </c>
      <c r="BF16" t="s">
        <v>69</v>
      </c>
      <c r="BG16">
        <v>155</v>
      </c>
      <c r="BH16" t="s">
        <v>74</v>
      </c>
      <c r="BI16" t="s">
        <v>69</v>
      </c>
      <c r="BJ16" t="s">
        <v>75</v>
      </c>
      <c r="BK16" t="s">
        <v>69</v>
      </c>
      <c r="BL16">
        <v>174.203</v>
      </c>
      <c r="BM16" t="s">
        <v>69</v>
      </c>
      <c r="BN16" t="s">
        <v>69</v>
      </c>
      <c r="BO16">
        <v>156</v>
      </c>
      <c r="BP16" t="s">
        <v>70</v>
      </c>
      <c r="BQ16" t="s">
        <v>69</v>
      </c>
      <c r="BR16" t="s">
        <v>71</v>
      </c>
      <c r="BS16" t="s">
        <v>69</v>
      </c>
      <c r="BT16">
        <v>75.066999999999993</v>
      </c>
      <c r="BU16" t="s">
        <v>69</v>
      </c>
      <c r="BV16" t="s">
        <v>69</v>
      </c>
    </row>
    <row r="17" spans="1:74" x14ac:dyDescent="0.25">
      <c r="A17">
        <v>7</v>
      </c>
      <c r="B17" t="str">
        <f>HYPERLINK("http://www.ncbi.nlm.nih.gov/protein/ACB87600.1","ACB87600.1")</f>
        <v>ACB87600.1</v>
      </c>
      <c r="C17">
        <v>86952</v>
      </c>
      <c r="D17" t="str">
        <f>HYPERLINK("http://www.ncbi.nlm.nih.gov/Taxonomy/Browser/wwwtax.cgi?mode=Info&amp;id=9823&amp;lvl=3&amp;lin=f&amp;keep=1&amp;srchmode=1&amp;unlock","9823")</f>
        <v>9823</v>
      </c>
      <c r="E17" t="s">
        <v>66</v>
      </c>
      <c r="F17" t="str">
        <f>HYPERLINK("http://www.ncbi.nlm.nih.gov/Taxonomy/Browser/wwwtax.cgi?mode=Info&amp;id=9823&amp;lvl=3&amp;lin=f&amp;keep=1&amp;srchmode=1&amp;unlock","Sus scrofa")</f>
        <v>Sus scrofa</v>
      </c>
      <c r="G17" t="s">
        <v>85</v>
      </c>
      <c r="H17" t="str">
        <f>HYPERLINK("http://www.ncbi.nlm.nih.gov/protein/ACB87600.1","interferon stimulated gene 15")</f>
        <v>interferon stimulated gene 15</v>
      </c>
      <c r="I17" t="s">
        <v>261</v>
      </c>
      <c r="J17" t="s">
        <v>69</v>
      </c>
      <c r="K17">
        <v>22</v>
      </c>
      <c r="L17" t="s">
        <v>249</v>
      </c>
      <c r="M17" t="s">
        <v>153</v>
      </c>
      <c r="N17" t="s">
        <v>117</v>
      </c>
      <c r="O17" t="s">
        <v>153</v>
      </c>
      <c r="P17">
        <v>121.154</v>
      </c>
      <c r="Q17" t="s">
        <v>69</v>
      </c>
      <c r="R17" t="s">
        <v>69</v>
      </c>
      <c r="S17">
        <v>122</v>
      </c>
      <c r="T17" t="s">
        <v>250</v>
      </c>
      <c r="U17" t="s">
        <v>69</v>
      </c>
      <c r="V17" t="s">
        <v>152</v>
      </c>
      <c r="W17" t="s">
        <v>69</v>
      </c>
      <c r="X17">
        <v>204.22800000000001</v>
      </c>
      <c r="Y17" t="s">
        <v>69</v>
      </c>
      <c r="Z17" t="s">
        <v>69</v>
      </c>
      <c r="AA17">
        <v>126</v>
      </c>
      <c r="AB17" t="s">
        <v>119</v>
      </c>
      <c r="AC17" t="s">
        <v>69</v>
      </c>
      <c r="AD17" t="s">
        <v>120</v>
      </c>
      <c r="AE17" t="s">
        <v>69</v>
      </c>
      <c r="AF17">
        <v>147.131</v>
      </c>
      <c r="AG17" t="s">
        <v>69</v>
      </c>
      <c r="AH17" t="s">
        <v>69</v>
      </c>
      <c r="AI17">
        <v>127</v>
      </c>
      <c r="AJ17" t="s">
        <v>70</v>
      </c>
      <c r="AK17" t="s">
        <v>69</v>
      </c>
      <c r="AL17" t="s">
        <v>71</v>
      </c>
      <c r="AM17" t="s">
        <v>69</v>
      </c>
      <c r="AN17">
        <v>75.066999999999993</v>
      </c>
      <c r="AO17" t="s">
        <v>69</v>
      </c>
      <c r="AP17" t="s">
        <v>69</v>
      </c>
      <c r="AQ17">
        <v>129</v>
      </c>
      <c r="AR17" t="s">
        <v>146</v>
      </c>
      <c r="AS17" t="s">
        <v>69</v>
      </c>
      <c r="AT17" t="s">
        <v>71</v>
      </c>
      <c r="AU17" t="s">
        <v>69</v>
      </c>
      <c r="AV17">
        <v>115.13200000000001</v>
      </c>
      <c r="AW17" t="s">
        <v>69</v>
      </c>
      <c r="AX17" t="s">
        <v>69</v>
      </c>
      <c r="AY17">
        <v>152</v>
      </c>
      <c r="AZ17" t="s">
        <v>74</v>
      </c>
      <c r="BA17" t="s">
        <v>69</v>
      </c>
      <c r="BB17" t="s">
        <v>75</v>
      </c>
      <c r="BC17" t="s">
        <v>69</v>
      </c>
      <c r="BD17">
        <v>174.203</v>
      </c>
      <c r="BE17" t="s">
        <v>69</v>
      </c>
      <c r="BF17" t="s">
        <v>69</v>
      </c>
      <c r="BG17">
        <v>154</v>
      </c>
      <c r="BH17" t="s">
        <v>74</v>
      </c>
      <c r="BI17" t="s">
        <v>69</v>
      </c>
      <c r="BJ17" t="s">
        <v>75</v>
      </c>
      <c r="BK17" t="s">
        <v>69</v>
      </c>
      <c r="BL17">
        <v>174.203</v>
      </c>
      <c r="BM17" t="s">
        <v>69</v>
      </c>
      <c r="BN17" t="s">
        <v>69</v>
      </c>
      <c r="BO17">
        <v>155</v>
      </c>
      <c r="BP17" t="s">
        <v>70</v>
      </c>
      <c r="BQ17" t="s">
        <v>69</v>
      </c>
      <c r="BR17" t="s">
        <v>71</v>
      </c>
      <c r="BS17" t="s">
        <v>69</v>
      </c>
      <c r="BT17">
        <v>75.066999999999993</v>
      </c>
      <c r="BU17" t="s">
        <v>69</v>
      </c>
      <c r="BV17" t="s">
        <v>69</v>
      </c>
    </row>
    <row r="18" spans="1:74" x14ac:dyDescent="0.25">
      <c r="A18">
        <v>7</v>
      </c>
      <c r="B18" t="str">
        <f>HYPERLINK("http://www.ncbi.nlm.nih.gov/protein/XP_012975405.2","XP_012975405.2")</f>
        <v>XP_012975405.2</v>
      </c>
      <c r="C18">
        <v>54410</v>
      </c>
      <c r="D18" t="str">
        <f>HYPERLINK("http://www.ncbi.nlm.nih.gov/Taxonomy/Browser/wwwtax.cgi?mode=Info&amp;id=10036&amp;lvl=3&amp;lin=f&amp;keep=1&amp;srchmode=1&amp;unlock","10036")</f>
        <v>10036</v>
      </c>
      <c r="E18" t="s">
        <v>66</v>
      </c>
      <c r="F18" t="str">
        <f>HYPERLINK("http://www.ncbi.nlm.nih.gov/Taxonomy/Browser/wwwtax.cgi?mode=Info&amp;id=10036&amp;lvl=3&amp;lin=f&amp;keep=1&amp;srchmode=1&amp;unlock","Mesocricetus auratus")</f>
        <v>Mesocricetus auratus</v>
      </c>
      <c r="G18" t="s">
        <v>87</v>
      </c>
      <c r="H18" t="str">
        <f>HYPERLINK("http://www.ncbi.nlm.nih.gov/protein/XP_012975405.2","ubiquitin-like protein ISG15")</f>
        <v>ubiquitin-like protein ISG15</v>
      </c>
      <c r="I18" t="s">
        <v>261</v>
      </c>
      <c r="J18" t="s">
        <v>69</v>
      </c>
      <c r="K18">
        <v>22</v>
      </c>
      <c r="L18" t="s">
        <v>155</v>
      </c>
      <c r="M18" t="s">
        <v>69</v>
      </c>
      <c r="N18" t="s">
        <v>150</v>
      </c>
      <c r="O18" t="s">
        <v>69</v>
      </c>
      <c r="P18">
        <v>105.093</v>
      </c>
      <c r="Q18" t="s">
        <v>69</v>
      </c>
      <c r="R18" t="s">
        <v>69</v>
      </c>
      <c r="S18">
        <v>122</v>
      </c>
      <c r="T18" t="s">
        <v>250</v>
      </c>
      <c r="U18" t="s">
        <v>69</v>
      </c>
      <c r="V18" t="s">
        <v>152</v>
      </c>
      <c r="W18" t="s">
        <v>69</v>
      </c>
      <c r="X18">
        <v>204.22800000000001</v>
      </c>
      <c r="Y18" t="s">
        <v>69</v>
      </c>
      <c r="Z18" t="s">
        <v>69</v>
      </c>
      <c r="AA18">
        <v>126</v>
      </c>
      <c r="AB18" t="s">
        <v>119</v>
      </c>
      <c r="AC18" t="s">
        <v>69</v>
      </c>
      <c r="AD18" t="s">
        <v>120</v>
      </c>
      <c r="AE18" t="s">
        <v>69</v>
      </c>
      <c r="AF18">
        <v>147.131</v>
      </c>
      <c r="AG18" t="s">
        <v>69</v>
      </c>
      <c r="AH18" t="s">
        <v>69</v>
      </c>
      <c r="AI18">
        <v>127</v>
      </c>
      <c r="AJ18" t="s">
        <v>70</v>
      </c>
      <c r="AK18" t="s">
        <v>69</v>
      </c>
      <c r="AL18" t="s">
        <v>71</v>
      </c>
      <c r="AM18" t="s">
        <v>69</v>
      </c>
      <c r="AN18">
        <v>75.066999999999993</v>
      </c>
      <c r="AO18" t="s">
        <v>69</v>
      </c>
      <c r="AP18" t="s">
        <v>69</v>
      </c>
      <c r="AQ18">
        <v>129</v>
      </c>
      <c r="AR18" t="s">
        <v>146</v>
      </c>
      <c r="AS18" t="s">
        <v>69</v>
      </c>
      <c r="AT18" t="s">
        <v>71</v>
      </c>
      <c r="AU18" t="s">
        <v>69</v>
      </c>
      <c r="AV18">
        <v>115.13200000000001</v>
      </c>
      <c r="AW18" t="s">
        <v>69</v>
      </c>
      <c r="AX18" t="s">
        <v>69</v>
      </c>
      <c r="AY18">
        <v>152</v>
      </c>
      <c r="AZ18" t="s">
        <v>74</v>
      </c>
      <c r="BA18" t="s">
        <v>69</v>
      </c>
      <c r="BB18" t="s">
        <v>75</v>
      </c>
      <c r="BC18" t="s">
        <v>69</v>
      </c>
      <c r="BD18">
        <v>174.203</v>
      </c>
      <c r="BE18" t="s">
        <v>69</v>
      </c>
      <c r="BF18" t="s">
        <v>69</v>
      </c>
      <c r="BG18">
        <v>154</v>
      </c>
      <c r="BH18" t="s">
        <v>74</v>
      </c>
      <c r="BI18" t="s">
        <v>69</v>
      </c>
      <c r="BJ18" t="s">
        <v>75</v>
      </c>
      <c r="BK18" t="s">
        <v>69</v>
      </c>
      <c r="BL18">
        <v>174.203</v>
      </c>
      <c r="BM18" t="s">
        <v>69</v>
      </c>
      <c r="BN18" t="s">
        <v>69</v>
      </c>
      <c r="BO18">
        <v>155</v>
      </c>
      <c r="BP18" t="s">
        <v>70</v>
      </c>
      <c r="BQ18" t="s">
        <v>69</v>
      </c>
      <c r="BR18" t="s">
        <v>71</v>
      </c>
      <c r="BS18" t="s">
        <v>69</v>
      </c>
      <c r="BT18">
        <v>75.066999999999993</v>
      </c>
      <c r="BU18" t="s">
        <v>69</v>
      </c>
      <c r="BV18" t="s">
        <v>69</v>
      </c>
    </row>
    <row r="19" spans="1:74" x14ac:dyDescent="0.25">
      <c r="A19">
        <v>7</v>
      </c>
      <c r="B19" t="str">
        <f>HYPERLINK("http://www.ncbi.nlm.nih.gov/protein/XP_004781339.1","XP_004781339.1")</f>
        <v>XP_004781339.1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HYPERLINK("http://www.ncbi.nlm.nih.gov/protein/XP_004781339.1","ubiquitin-like protein ISG15")</f>
        <v>ubiquitin-like protein ISG15</v>
      </c>
      <c r="I19" t="s">
        <v>261</v>
      </c>
      <c r="J19" t="s">
        <v>69</v>
      </c>
      <c r="K19">
        <v>22</v>
      </c>
      <c r="L19" t="s">
        <v>155</v>
      </c>
      <c r="M19" t="s">
        <v>69</v>
      </c>
      <c r="N19" t="s">
        <v>150</v>
      </c>
      <c r="O19" t="s">
        <v>69</v>
      </c>
      <c r="P19">
        <v>105.093</v>
      </c>
      <c r="Q19" t="s">
        <v>69</v>
      </c>
      <c r="R19" t="s">
        <v>69</v>
      </c>
      <c r="S19">
        <v>123</v>
      </c>
      <c r="T19" t="s">
        <v>250</v>
      </c>
      <c r="U19" t="s">
        <v>69</v>
      </c>
      <c r="V19" t="s">
        <v>152</v>
      </c>
      <c r="W19" t="s">
        <v>69</v>
      </c>
      <c r="X19">
        <v>204.22800000000001</v>
      </c>
      <c r="Y19" t="s">
        <v>69</v>
      </c>
      <c r="Z19" t="s">
        <v>69</v>
      </c>
      <c r="AA19">
        <v>127</v>
      </c>
      <c r="AB19" t="s">
        <v>147</v>
      </c>
      <c r="AC19" t="s">
        <v>153</v>
      </c>
      <c r="AD19" t="s">
        <v>148</v>
      </c>
      <c r="AE19" t="s">
        <v>153</v>
      </c>
      <c r="AF19">
        <v>146.14599999999999</v>
      </c>
      <c r="AG19" t="s">
        <v>69</v>
      </c>
      <c r="AH19" t="s">
        <v>69</v>
      </c>
      <c r="AI19">
        <v>128</v>
      </c>
      <c r="AJ19" t="s">
        <v>70</v>
      </c>
      <c r="AK19" t="s">
        <v>69</v>
      </c>
      <c r="AL19" t="s">
        <v>71</v>
      </c>
      <c r="AM19" t="s">
        <v>69</v>
      </c>
      <c r="AN19">
        <v>75.066999999999993</v>
      </c>
      <c r="AO19" t="s">
        <v>69</v>
      </c>
      <c r="AP19" t="s">
        <v>69</v>
      </c>
      <c r="AQ19">
        <v>130</v>
      </c>
      <c r="AR19" t="s">
        <v>146</v>
      </c>
      <c r="AS19" t="s">
        <v>69</v>
      </c>
      <c r="AT19" t="s">
        <v>71</v>
      </c>
      <c r="AU19" t="s">
        <v>69</v>
      </c>
      <c r="AV19">
        <v>115.13200000000001</v>
      </c>
      <c r="AW19" t="s">
        <v>69</v>
      </c>
      <c r="AX19" t="s">
        <v>69</v>
      </c>
      <c r="AY19">
        <v>153</v>
      </c>
      <c r="AZ19" t="s">
        <v>74</v>
      </c>
      <c r="BA19" t="s">
        <v>69</v>
      </c>
      <c r="BB19" t="s">
        <v>75</v>
      </c>
      <c r="BC19" t="s">
        <v>69</v>
      </c>
      <c r="BD19">
        <v>174.203</v>
      </c>
      <c r="BE19" t="s">
        <v>69</v>
      </c>
      <c r="BF19" t="s">
        <v>69</v>
      </c>
      <c r="BG19">
        <v>155</v>
      </c>
      <c r="BH19" t="s">
        <v>74</v>
      </c>
      <c r="BI19" t="s">
        <v>69</v>
      </c>
      <c r="BJ19" t="s">
        <v>75</v>
      </c>
      <c r="BK19" t="s">
        <v>69</v>
      </c>
      <c r="BL19">
        <v>174.203</v>
      </c>
      <c r="BM19" t="s">
        <v>69</v>
      </c>
      <c r="BN19" t="s">
        <v>69</v>
      </c>
      <c r="BO19">
        <v>156</v>
      </c>
      <c r="BP19" t="s">
        <v>70</v>
      </c>
      <c r="BQ19" t="s">
        <v>69</v>
      </c>
      <c r="BR19" t="s">
        <v>71</v>
      </c>
      <c r="BS19" t="s">
        <v>69</v>
      </c>
      <c r="BT19">
        <v>75.066999999999993</v>
      </c>
      <c r="BU19" t="s">
        <v>69</v>
      </c>
      <c r="BV19" t="s">
        <v>69</v>
      </c>
    </row>
    <row r="20" spans="1:74" x14ac:dyDescent="0.25">
      <c r="A20">
        <v>7</v>
      </c>
      <c r="B20" t="str">
        <f>HYPERLINK("http://www.ncbi.nlm.nih.gov/protein/XP_017529468.1","XP_017529468.1")</f>
        <v>XP_017529468.1</v>
      </c>
      <c r="C20">
        <v>56064</v>
      </c>
      <c r="D20" t="str">
        <f>HYPERLINK("http://www.ncbi.nlm.nih.gov/Taxonomy/Browser/wwwtax.cgi?mode=Info&amp;id=9974&amp;lvl=3&amp;lin=f&amp;keep=1&amp;srchmode=1&amp;unlock","9974")</f>
        <v>9974</v>
      </c>
      <c r="E20" t="s">
        <v>66</v>
      </c>
      <c r="F20" t="str">
        <f>HYPERLINK("http://www.ncbi.nlm.nih.gov/Taxonomy/Browser/wwwtax.cgi?mode=Info&amp;id=9974&amp;lvl=3&amp;lin=f&amp;keep=1&amp;srchmode=1&amp;unlock","Manis javanica")</f>
        <v>Manis javanica</v>
      </c>
      <c r="G20" t="s">
        <v>100</v>
      </c>
      <c r="H20" t="str">
        <f>HYPERLINK("http://www.ncbi.nlm.nih.gov/protein/XP_017529468.1","ubiquitin-like protein ISG15")</f>
        <v>ubiquitin-like protein ISG15</v>
      </c>
      <c r="I20" t="s">
        <v>261</v>
      </c>
      <c r="J20" t="s">
        <v>69</v>
      </c>
      <c r="K20">
        <v>22</v>
      </c>
      <c r="L20" t="s">
        <v>155</v>
      </c>
      <c r="M20" t="s">
        <v>69</v>
      </c>
      <c r="N20" t="s">
        <v>150</v>
      </c>
      <c r="O20" t="s">
        <v>69</v>
      </c>
      <c r="P20">
        <v>105.093</v>
      </c>
      <c r="Q20" t="s">
        <v>69</v>
      </c>
      <c r="R20" t="s">
        <v>69</v>
      </c>
      <c r="S20">
        <v>123</v>
      </c>
      <c r="T20" t="s">
        <v>250</v>
      </c>
      <c r="U20" t="s">
        <v>69</v>
      </c>
      <c r="V20" t="s">
        <v>152</v>
      </c>
      <c r="W20" t="s">
        <v>69</v>
      </c>
      <c r="X20">
        <v>204.22800000000001</v>
      </c>
      <c r="Y20" t="s">
        <v>69</v>
      </c>
      <c r="Z20" t="s">
        <v>69</v>
      </c>
      <c r="AA20">
        <v>127</v>
      </c>
      <c r="AB20" t="s">
        <v>119</v>
      </c>
      <c r="AC20" t="s">
        <v>69</v>
      </c>
      <c r="AD20" t="s">
        <v>120</v>
      </c>
      <c r="AE20" t="s">
        <v>69</v>
      </c>
      <c r="AF20">
        <v>147.131</v>
      </c>
      <c r="AG20" t="s">
        <v>69</v>
      </c>
      <c r="AH20" t="s">
        <v>69</v>
      </c>
      <c r="AI20">
        <v>128</v>
      </c>
      <c r="AJ20" t="s">
        <v>70</v>
      </c>
      <c r="AK20" t="s">
        <v>69</v>
      </c>
      <c r="AL20" t="s">
        <v>71</v>
      </c>
      <c r="AM20" t="s">
        <v>69</v>
      </c>
      <c r="AN20">
        <v>75.066999999999993</v>
      </c>
      <c r="AO20" t="s">
        <v>69</v>
      </c>
      <c r="AP20" t="s">
        <v>69</v>
      </c>
      <c r="AQ20">
        <v>130</v>
      </c>
      <c r="AR20" t="s">
        <v>155</v>
      </c>
      <c r="AS20" t="s">
        <v>153</v>
      </c>
      <c r="AT20" t="s">
        <v>150</v>
      </c>
      <c r="AU20" t="s">
        <v>153</v>
      </c>
      <c r="AV20">
        <v>105.093</v>
      </c>
      <c r="AW20" t="s">
        <v>69</v>
      </c>
      <c r="AX20" t="s">
        <v>69</v>
      </c>
      <c r="AY20">
        <v>153</v>
      </c>
      <c r="AZ20" t="s">
        <v>74</v>
      </c>
      <c r="BA20" t="s">
        <v>69</v>
      </c>
      <c r="BB20" t="s">
        <v>75</v>
      </c>
      <c r="BC20" t="s">
        <v>69</v>
      </c>
      <c r="BD20">
        <v>174.203</v>
      </c>
      <c r="BE20" t="s">
        <v>69</v>
      </c>
      <c r="BF20" t="s">
        <v>69</v>
      </c>
      <c r="BG20">
        <v>155</v>
      </c>
      <c r="BH20" t="s">
        <v>74</v>
      </c>
      <c r="BI20" t="s">
        <v>69</v>
      </c>
      <c r="BJ20" t="s">
        <v>75</v>
      </c>
      <c r="BK20" t="s">
        <v>69</v>
      </c>
      <c r="BL20">
        <v>174.203</v>
      </c>
      <c r="BM20" t="s">
        <v>69</v>
      </c>
      <c r="BN20" t="s">
        <v>69</v>
      </c>
      <c r="BO20">
        <v>156</v>
      </c>
      <c r="BP20" t="s">
        <v>70</v>
      </c>
      <c r="BQ20" t="s">
        <v>69</v>
      </c>
      <c r="BR20" t="s">
        <v>71</v>
      </c>
      <c r="BS20" t="s">
        <v>69</v>
      </c>
      <c r="BT20">
        <v>75.066999999999993</v>
      </c>
      <c r="BU20" t="s">
        <v>69</v>
      </c>
      <c r="BV20" t="s">
        <v>69</v>
      </c>
    </row>
    <row r="21" spans="1:74" x14ac:dyDescent="0.25">
      <c r="A21">
        <v>7</v>
      </c>
      <c r="B21" t="str">
        <f>HYPERLINK("http://www.ncbi.nlm.nih.gov/protein/XP_046940731.1","XP_046940731.1")</f>
        <v>XP_046940731.1</v>
      </c>
      <c r="C21">
        <v>38764</v>
      </c>
      <c r="D21" t="str">
        <f>HYPERLINK("http://www.ncbi.nlm.nih.gov/Taxonomy/Browser/wwwtax.cgi?mode=Info&amp;id=61384&amp;lvl=3&amp;lin=f&amp;keep=1&amp;srchmode=1&amp;unlock","61384")</f>
        <v>61384</v>
      </c>
      <c r="E21" t="s">
        <v>66</v>
      </c>
      <c r="F21" t="str">
        <f>HYPERLINK("http://www.ncbi.nlm.nih.gov/Taxonomy/Browser/wwwtax.cgi?mode=Info&amp;id=61384&amp;lvl=3&amp;lin=f&amp;keep=1&amp;srchmode=1&amp;unlock","Lynx rufus")</f>
        <v>Lynx rufus</v>
      </c>
      <c r="G21" t="s">
        <v>93</v>
      </c>
      <c r="H21" t="str">
        <f>HYPERLINK("http://www.ncbi.nlm.nih.gov/protein/XP_046940731.1","ubiquitin-like protein ISG15")</f>
        <v>ubiquitin-like protein ISG15</v>
      </c>
      <c r="I21" t="s">
        <v>261</v>
      </c>
      <c r="J21" t="s">
        <v>69</v>
      </c>
      <c r="K21">
        <v>22</v>
      </c>
      <c r="L21" t="s">
        <v>153</v>
      </c>
      <c r="M21" t="s">
        <v>153</v>
      </c>
      <c r="N21" t="s">
        <v>148</v>
      </c>
      <c r="O21" t="s">
        <v>153</v>
      </c>
      <c r="P21">
        <v>132.119</v>
      </c>
      <c r="Q21" t="s">
        <v>69</v>
      </c>
      <c r="R21" t="s">
        <v>69</v>
      </c>
      <c r="S21">
        <v>123</v>
      </c>
      <c r="T21" t="s">
        <v>250</v>
      </c>
      <c r="U21" t="s">
        <v>69</v>
      </c>
      <c r="V21" t="s">
        <v>152</v>
      </c>
      <c r="W21" t="s">
        <v>69</v>
      </c>
      <c r="X21">
        <v>204.22800000000001</v>
      </c>
      <c r="Y21" t="s">
        <v>69</v>
      </c>
      <c r="Z21" t="s">
        <v>69</v>
      </c>
      <c r="AA21">
        <v>127</v>
      </c>
      <c r="AB21" t="s">
        <v>119</v>
      </c>
      <c r="AC21" t="s">
        <v>69</v>
      </c>
      <c r="AD21" t="s">
        <v>120</v>
      </c>
      <c r="AE21" t="s">
        <v>69</v>
      </c>
      <c r="AF21">
        <v>147.131</v>
      </c>
      <c r="AG21" t="s">
        <v>69</v>
      </c>
      <c r="AH21" t="s">
        <v>69</v>
      </c>
      <c r="AI21">
        <v>128</v>
      </c>
      <c r="AJ21" t="s">
        <v>70</v>
      </c>
      <c r="AK21" t="s">
        <v>69</v>
      </c>
      <c r="AL21" t="s">
        <v>71</v>
      </c>
      <c r="AM21" t="s">
        <v>69</v>
      </c>
      <c r="AN21">
        <v>75.066999999999993</v>
      </c>
      <c r="AO21" t="s">
        <v>69</v>
      </c>
      <c r="AP21" t="s">
        <v>69</v>
      </c>
      <c r="AQ21">
        <v>130</v>
      </c>
      <c r="AR21" t="s">
        <v>146</v>
      </c>
      <c r="AS21" t="s">
        <v>69</v>
      </c>
      <c r="AT21" t="s">
        <v>71</v>
      </c>
      <c r="AU21" t="s">
        <v>69</v>
      </c>
      <c r="AV21">
        <v>115.13200000000001</v>
      </c>
      <c r="AW21" t="s">
        <v>69</v>
      </c>
      <c r="AX21" t="s">
        <v>69</v>
      </c>
      <c r="AY21">
        <v>153</v>
      </c>
      <c r="AZ21" t="s">
        <v>74</v>
      </c>
      <c r="BA21" t="s">
        <v>69</v>
      </c>
      <c r="BB21" t="s">
        <v>75</v>
      </c>
      <c r="BC21" t="s">
        <v>69</v>
      </c>
      <c r="BD21">
        <v>174.203</v>
      </c>
      <c r="BE21" t="s">
        <v>69</v>
      </c>
      <c r="BF21" t="s">
        <v>69</v>
      </c>
      <c r="BG21">
        <v>155</v>
      </c>
      <c r="BH21" t="s">
        <v>74</v>
      </c>
      <c r="BI21" t="s">
        <v>69</v>
      </c>
      <c r="BJ21" t="s">
        <v>75</v>
      </c>
      <c r="BK21" t="s">
        <v>69</v>
      </c>
      <c r="BL21">
        <v>174.203</v>
      </c>
      <c r="BM21" t="s">
        <v>69</v>
      </c>
      <c r="BN21" t="s">
        <v>69</v>
      </c>
      <c r="BO21">
        <v>156</v>
      </c>
      <c r="BP21" t="s">
        <v>70</v>
      </c>
      <c r="BQ21" t="s">
        <v>69</v>
      </c>
      <c r="BR21" t="s">
        <v>71</v>
      </c>
      <c r="BS21" t="s">
        <v>69</v>
      </c>
      <c r="BT21">
        <v>75.066999999999993</v>
      </c>
      <c r="BU21" t="s">
        <v>69</v>
      </c>
      <c r="BV21" t="s">
        <v>69</v>
      </c>
    </row>
    <row r="22" spans="1:74" x14ac:dyDescent="0.25">
      <c r="A22">
        <v>7</v>
      </c>
      <c r="B22" t="str">
        <f>HYPERLINK("http://www.ncbi.nlm.nih.gov/protein/XP_003639101.1","XP_003639101.1")</f>
        <v>XP_003639101.1</v>
      </c>
      <c r="C22">
        <v>136357</v>
      </c>
      <c r="D22" t="str">
        <f>HYPERLINK("http://www.ncbi.nlm.nih.gov/Taxonomy/Browser/wwwtax.cgi?mode=Info&amp;id=9615&amp;lvl=3&amp;lin=f&amp;keep=1&amp;srchmode=1&amp;unlock","9615")</f>
        <v>9615</v>
      </c>
      <c r="E22" t="s">
        <v>66</v>
      </c>
      <c r="F22" t="str">
        <f>HYPERLINK("http://www.ncbi.nlm.nih.gov/Taxonomy/Browser/wwwtax.cgi?mode=Info&amp;id=9615&amp;lvl=3&amp;lin=f&amp;keep=1&amp;srchmode=1&amp;unlock","Canis lupus familiaris")</f>
        <v>Canis lupus familiaris</v>
      </c>
      <c r="G22" t="s">
        <v>84</v>
      </c>
      <c r="H22" t="str">
        <f>HYPERLINK("http://www.ncbi.nlm.nih.gov/protein/XP_003639101.1","ubiquitin-like protein ISG15")</f>
        <v>ubiquitin-like protein ISG15</v>
      </c>
      <c r="I22" t="s">
        <v>261</v>
      </c>
      <c r="J22" t="s">
        <v>69</v>
      </c>
      <c r="K22">
        <v>28</v>
      </c>
      <c r="L22" t="s">
        <v>155</v>
      </c>
      <c r="M22" t="s">
        <v>69</v>
      </c>
      <c r="N22" t="s">
        <v>150</v>
      </c>
      <c r="O22" t="s">
        <v>69</v>
      </c>
      <c r="P22">
        <v>105.093</v>
      </c>
      <c r="Q22" t="s">
        <v>69</v>
      </c>
      <c r="R22" t="s">
        <v>69</v>
      </c>
      <c r="S22">
        <v>129</v>
      </c>
      <c r="T22" t="s">
        <v>250</v>
      </c>
      <c r="U22" t="s">
        <v>69</v>
      </c>
      <c r="V22" t="s">
        <v>152</v>
      </c>
      <c r="W22" t="s">
        <v>69</v>
      </c>
      <c r="X22">
        <v>204.22800000000001</v>
      </c>
      <c r="Y22" t="s">
        <v>69</v>
      </c>
      <c r="Z22" t="s">
        <v>69</v>
      </c>
      <c r="AA22">
        <v>133</v>
      </c>
      <c r="AB22" t="s">
        <v>119</v>
      </c>
      <c r="AC22" t="s">
        <v>69</v>
      </c>
      <c r="AD22" t="s">
        <v>120</v>
      </c>
      <c r="AE22" t="s">
        <v>69</v>
      </c>
      <c r="AF22">
        <v>147.131</v>
      </c>
      <c r="AG22" t="s">
        <v>69</v>
      </c>
      <c r="AH22" t="s">
        <v>69</v>
      </c>
      <c r="AI22">
        <v>134</v>
      </c>
      <c r="AJ22" t="s">
        <v>70</v>
      </c>
      <c r="AK22" t="s">
        <v>69</v>
      </c>
      <c r="AL22" t="s">
        <v>71</v>
      </c>
      <c r="AM22" t="s">
        <v>69</v>
      </c>
      <c r="AN22">
        <v>75.066999999999993</v>
      </c>
      <c r="AO22" t="s">
        <v>69</v>
      </c>
      <c r="AP22" t="s">
        <v>69</v>
      </c>
      <c r="AQ22">
        <v>136</v>
      </c>
      <c r="AR22" t="s">
        <v>146</v>
      </c>
      <c r="AS22" t="s">
        <v>69</v>
      </c>
      <c r="AT22" t="s">
        <v>71</v>
      </c>
      <c r="AU22" t="s">
        <v>69</v>
      </c>
      <c r="AV22">
        <v>115.13200000000001</v>
      </c>
      <c r="AW22" t="s">
        <v>69</v>
      </c>
      <c r="AX22" t="s">
        <v>69</v>
      </c>
      <c r="AY22">
        <v>159</v>
      </c>
      <c r="AZ22" t="s">
        <v>74</v>
      </c>
      <c r="BA22" t="s">
        <v>69</v>
      </c>
      <c r="BB22" t="s">
        <v>75</v>
      </c>
      <c r="BC22" t="s">
        <v>69</v>
      </c>
      <c r="BD22">
        <v>174.203</v>
      </c>
      <c r="BE22" t="s">
        <v>69</v>
      </c>
      <c r="BF22" t="s">
        <v>69</v>
      </c>
      <c r="BG22">
        <v>161</v>
      </c>
      <c r="BH22" t="s">
        <v>74</v>
      </c>
      <c r="BI22" t="s">
        <v>69</v>
      </c>
      <c r="BJ22" t="s">
        <v>75</v>
      </c>
      <c r="BK22" t="s">
        <v>69</v>
      </c>
      <c r="BL22">
        <v>174.203</v>
      </c>
      <c r="BM22" t="s">
        <v>69</v>
      </c>
      <c r="BN22" t="s">
        <v>69</v>
      </c>
      <c r="BO22">
        <v>162</v>
      </c>
      <c r="BP22" t="s">
        <v>70</v>
      </c>
      <c r="BQ22" t="s">
        <v>69</v>
      </c>
      <c r="BR22" t="s">
        <v>71</v>
      </c>
      <c r="BS22" t="s">
        <v>69</v>
      </c>
      <c r="BT22">
        <v>75.066999999999993</v>
      </c>
      <c r="BU22" t="s">
        <v>69</v>
      </c>
      <c r="BV22" t="s">
        <v>69</v>
      </c>
    </row>
    <row r="23" spans="1:74" x14ac:dyDescent="0.25">
      <c r="A23">
        <v>7</v>
      </c>
      <c r="B23" t="str">
        <f>HYPERLINK("http://www.ncbi.nlm.nih.gov/protein/XP_045874331.1","XP_045874331.1")</f>
        <v>XP_045874331.1</v>
      </c>
      <c r="C23">
        <v>50752</v>
      </c>
      <c r="D23" t="str">
        <f>HYPERLINK("http://www.ncbi.nlm.nih.gov/Taxonomy/Browser/wwwtax.cgi?mode=Info&amp;id=9662&amp;lvl=3&amp;lin=f&amp;keep=1&amp;srchmode=1&amp;unlock","9662")</f>
        <v>9662</v>
      </c>
      <c r="E23" t="s">
        <v>66</v>
      </c>
      <c r="F23" t="str">
        <f>HYPERLINK("http://www.ncbi.nlm.nih.gov/Taxonomy/Browser/wwwtax.cgi?mode=Info&amp;id=9662&amp;lvl=3&amp;lin=f&amp;keep=1&amp;srchmode=1&amp;unlock","Meles meles")</f>
        <v>Meles meles</v>
      </c>
      <c r="G23" t="s">
        <v>99</v>
      </c>
      <c r="H23" t="str">
        <f>HYPERLINK("http://www.ncbi.nlm.nih.gov/protein/XP_045874331.1","ubiquitin-like protein ISG15")</f>
        <v>ubiquitin-like protein ISG15</v>
      </c>
      <c r="I23" t="s">
        <v>261</v>
      </c>
      <c r="J23" t="s">
        <v>69</v>
      </c>
      <c r="K23">
        <v>22</v>
      </c>
      <c r="L23" t="s">
        <v>155</v>
      </c>
      <c r="M23" t="s">
        <v>69</v>
      </c>
      <c r="N23" t="s">
        <v>150</v>
      </c>
      <c r="O23" t="s">
        <v>69</v>
      </c>
      <c r="P23">
        <v>105.093</v>
      </c>
      <c r="Q23" t="s">
        <v>69</v>
      </c>
      <c r="R23" t="s">
        <v>69</v>
      </c>
      <c r="S23">
        <v>123</v>
      </c>
      <c r="T23" t="s">
        <v>250</v>
      </c>
      <c r="U23" t="s">
        <v>69</v>
      </c>
      <c r="V23" t="s">
        <v>152</v>
      </c>
      <c r="W23" t="s">
        <v>69</v>
      </c>
      <c r="X23">
        <v>204.22800000000001</v>
      </c>
      <c r="Y23" t="s">
        <v>69</v>
      </c>
      <c r="Z23" t="s">
        <v>69</v>
      </c>
      <c r="AA23">
        <v>127</v>
      </c>
      <c r="AB23" t="s">
        <v>147</v>
      </c>
      <c r="AC23" t="s">
        <v>153</v>
      </c>
      <c r="AD23" t="s">
        <v>148</v>
      </c>
      <c r="AE23" t="s">
        <v>153</v>
      </c>
      <c r="AF23">
        <v>146.14599999999999</v>
      </c>
      <c r="AG23" t="s">
        <v>69</v>
      </c>
      <c r="AH23" t="s">
        <v>69</v>
      </c>
      <c r="AI23">
        <v>128</v>
      </c>
      <c r="AJ23" t="s">
        <v>70</v>
      </c>
      <c r="AK23" t="s">
        <v>69</v>
      </c>
      <c r="AL23" t="s">
        <v>71</v>
      </c>
      <c r="AM23" t="s">
        <v>69</v>
      </c>
      <c r="AN23">
        <v>75.066999999999993</v>
      </c>
      <c r="AO23" t="s">
        <v>69</v>
      </c>
      <c r="AP23" t="s">
        <v>69</v>
      </c>
      <c r="AQ23">
        <v>130</v>
      </c>
      <c r="AR23" t="s">
        <v>146</v>
      </c>
      <c r="AS23" t="s">
        <v>69</v>
      </c>
      <c r="AT23" t="s">
        <v>71</v>
      </c>
      <c r="AU23" t="s">
        <v>69</v>
      </c>
      <c r="AV23">
        <v>115.13200000000001</v>
      </c>
      <c r="AW23" t="s">
        <v>69</v>
      </c>
      <c r="AX23" t="s">
        <v>69</v>
      </c>
      <c r="AY23">
        <v>153</v>
      </c>
      <c r="AZ23" t="s">
        <v>74</v>
      </c>
      <c r="BA23" t="s">
        <v>69</v>
      </c>
      <c r="BB23" t="s">
        <v>75</v>
      </c>
      <c r="BC23" t="s">
        <v>69</v>
      </c>
      <c r="BD23">
        <v>174.203</v>
      </c>
      <c r="BE23" t="s">
        <v>69</v>
      </c>
      <c r="BF23" t="s">
        <v>69</v>
      </c>
      <c r="BG23">
        <v>155</v>
      </c>
      <c r="BH23" t="s">
        <v>74</v>
      </c>
      <c r="BI23" t="s">
        <v>69</v>
      </c>
      <c r="BJ23" t="s">
        <v>75</v>
      </c>
      <c r="BK23" t="s">
        <v>69</v>
      </c>
      <c r="BL23">
        <v>174.203</v>
      </c>
      <c r="BM23" t="s">
        <v>69</v>
      </c>
      <c r="BN23" t="s">
        <v>69</v>
      </c>
      <c r="BO23">
        <v>156</v>
      </c>
      <c r="BP23" t="s">
        <v>70</v>
      </c>
      <c r="BQ23" t="s">
        <v>69</v>
      </c>
      <c r="BR23" t="s">
        <v>71</v>
      </c>
      <c r="BS23" t="s">
        <v>69</v>
      </c>
      <c r="BT23">
        <v>75.066999999999993</v>
      </c>
      <c r="BU23" t="s">
        <v>69</v>
      </c>
      <c r="BV23" t="s">
        <v>69</v>
      </c>
    </row>
    <row r="24" spans="1:74" x14ac:dyDescent="0.25">
      <c r="A24">
        <v>7</v>
      </c>
      <c r="B24" t="str">
        <f>HYPERLINK("http://www.ncbi.nlm.nih.gov/protein/XP_025862858.1","XP_025862858.1")</f>
        <v>XP_025862858.1</v>
      </c>
      <c r="C24">
        <v>38435</v>
      </c>
      <c r="D24" t="str">
        <f>HYPERLINK("http://www.ncbi.nlm.nih.gov/Taxonomy/Browser/wwwtax.cgi?mode=Info&amp;id=9627&amp;lvl=3&amp;lin=f&amp;keep=1&amp;srchmode=1&amp;unlock","9627")</f>
        <v>9627</v>
      </c>
      <c r="E24" t="s">
        <v>66</v>
      </c>
      <c r="F24" t="str">
        <f>HYPERLINK("http://www.ncbi.nlm.nih.gov/Taxonomy/Browser/wwwtax.cgi?mode=Info&amp;id=9627&amp;lvl=3&amp;lin=f&amp;keep=1&amp;srchmode=1&amp;unlock","Vulpes vulpes")</f>
        <v>Vulpes vulpes</v>
      </c>
      <c r="G24" t="s">
        <v>95</v>
      </c>
      <c r="H24" t="str">
        <f>HYPERLINK("http://www.ncbi.nlm.nih.gov/protein/XP_025862858.1","ubiquitin-like protein ISG15")</f>
        <v>ubiquitin-like protein ISG15</v>
      </c>
      <c r="I24" t="s">
        <v>261</v>
      </c>
      <c r="J24" t="s">
        <v>69</v>
      </c>
      <c r="K24">
        <v>22</v>
      </c>
      <c r="L24" t="s">
        <v>155</v>
      </c>
      <c r="M24" t="s">
        <v>69</v>
      </c>
      <c r="N24" t="s">
        <v>150</v>
      </c>
      <c r="O24" t="s">
        <v>69</v>
      </c>
      <c r="P24">
        <v>105.093</v>
      </c>
      <c r="Q24" t="s">
        <v>69</v>
      </c>
      <c r="R24" t="s">
        <v>69</v>
      </c>
      <c r="S24">
        <v>123</v>
      </c>
      <c r="T24" t="s">
        <v>250</v>
      </c>
      <c r="U24" t="s">
        <v>69</v>
      </c>
      <c r="V24" t="s">
        <v>152</v>
      </c>
      <c r="W24" t="s">
        <v>69</v>
      </c>
      <c r="X24">
        <v>204.22800000000001</v>
      </c>
      <c r="Y24" t="s">
        <v>69</v>
      </c>
      <c r="Z24" t="s">
        <v>69</v>
      </c>
      <c r="AA24">
        <v>127</v>
      </c>
      <c r="AB24" t="s">
        <v>119</v>
      </c>
      <c r="AC24" t="s">
        <v>69</v>
      </c>
      <c r="AD24" t="s">
        <v>120</v>
      </c>
      <c r="AE24" t="s">
        <v>69</v>
      </c>
      <c r="AF24">
        <v>147.131</v>
      </c>
      <c r="AG24" t="s">
        <v>69</v>
      </c>
      <c r="AH24" t="s">
        <v>69</v>
      </c>
      <c r="AI24">
        <v>128</v>
      </c>
      <c r="AJ24" t="s">
        <v>70</v>
      </c>
      <c r="AK24" t="s">
        <v>69</v>
      </c>
      <c r="AL24" t="s">
        <v>71</v>
      </c>
      <c r="AM24" t="s">
        <v>69</v>
      </c>
      <c r="AN24">
        <v>75.066999999999993</v>
      </c>
      <c r="AO24" t="s">
        <v>69</v>
      </c>
      <c r="AP24" t="s">
        <v>69</v>
      </c>
      <c r="AQ24">
        <v>130</v>
      </c>
      <c r="AR24" t="s">
        <v>146</v>
      </c>
      <c r="AS24" t="s">
        <v>69</v>
      </c>
      <c r="AT24" t="s">
        <v>71</v>
      </c>
      <c r="AU24" t="s">
        <v>69</v>
      </c>
      <c r="AV24">
        <v>115.13200000000001</v>
      </c>
      <c r="AW24" t="s">
        <v>69</v>
      </c>
      <c r="AX24" t="s">
        <v>69</v>
      </c>
      <c r="AY24">
        <v>153</v>
      </c>
      <c r="AZ24" t="s">
        <v>74</v>
      </c>
      <c r="BA24" t="s">
        <v>69</v>
      </c>
      <c r="BB24" t="s">
        <v>75</v>
      </c>
      <c r="BC24" t="s">
        <v>69</v>
      </c>
      <c r="BD24">
        <v>174.203</v>
      </c>
      <c r="BE24" t="s">
        <v>69</v>
      </c>
      <c r="BF24" t="s">
        <v>69</v>
      </c>
      <c r="BG24">
        <v>155</v>
      </c>
      <c r="BH24" t="s">
        <v>74</v>
      </c>
      <c r="BI24" t="s">
        <v>69</v>
      </c>
      <c r="BJ24" t="s">
        <v>75</v>
      </c>
      <c r="BK24" t="s">
        <v>69</v>
      </c>
      <c r="BL24">
        <v>174.203</v>
      </c>
      <c r="BM24" t="s">
        <v>69</v>
      </c>
      <c r="BN24" t="s">
        <v>69</v>
      </c>
      <c r="BO24">
        <v>156</v>
      </c>
      <c r="BP24" t="s">
        <v>70</v>
      </c>
      <c r="BQ24" t="s">
        <v>69</v>
      </c>
      <c r="BR24" t="s">
        <v>71</v>
      </c>
      <c r="BS24" t="s">
        <v>69</v>
      </c>
      <c r="BT24">
        <v>75.066999999999993</v>
      </c>
      <c r="BU24" t="s">
        <v>69</v>
      </c>
      <c r="BV24" t="s">
        <v>69</v>
      </c>
    </row>
    <row r="25" spans="1:74" x14ac:dyDescent="0.25">
      <c r="A25">
        <v>7</v>
      </c>
      <c r="B25" t="str">
        <f>HYPERLINK("http://www.ncbi.nlm.nih.gov/protein/MBZ3882453.1","MBZ3882453.1")</f>
        <v>MBZ3882453.1</v>
      </c>
      <c r="C25">
        <v>74939</v>
      </c>
      <c r="D25" t="str">
        <f>HYPERLINK("http://www.ncbi.nlm.nih.gov/Taxonomy/Browser/wwwtax.cgi?mode=Info&amp;id=30640&amp;lvl=3&amp;lin=f&amp;keep=1&amp;srchmode=1&amp;unlock","30640")</f>
        <v>30640</v>
      </c>
      <c r="E25" t="s">
        <v>66</v>
      </c>
      <c r="F25" t="str">
        <f>HYPERLINK("http://www.ncbi.nlm.nih.gov/Taxonomy/Browser/wwwtax.cgi?mode=Info&amp;id=30640&amp;lvl=3&amp;lin=f&amp;keep=1&amp;srchmode=1&amp;unlock","Neosciurus carolinensis")</f>
        <v>Neosciurus carolinensis</v>
      </c>
      <c r="G25" t="s">
        <v>101</v>
      </c>
      <c r="H25" t="str">
        <f>HYPERLINK("http://www.ncbi.nlm.nih.gov/protein/MBZ3882453.1","Ubiquitin-like protein ISG15")</f>
        <v>Ubiquitin-like protein ISG15</v>
      </c>
      <c r="I25" t="s">
        <v>261</v>
      </c>
      <c r="J25" t="s">
        <v>69</v>
      </c>
      <c r="K25">
        <v>22</v>
      </c>
      <c r="L25" t="s">
        <v>155</v>
      </c>
      <c r="M25" t="s">
        <v>69</v>
      </c>
      <c r="N25" t="s">
        <v>150</v>
      </c>
      <c r="O25" t="s">
        <v>69</v>
      </c>
      <c r="P25">
        <v>105.093</v>
      </c>
      <c r="Q25" t="s">
        <v>69</v>
      </c>
      <c r="R25" t="s">
        <v>69</v>
      </c>
      <c r="S25">
        <v>122</v>
      </c>
      <c r="T25" t="s">
        <v>250</v>
      </c>
      <c r="U25" t="s">
        <v>69</v>
      </c>
      <c r="V25" t="s">
        <v>152</v>
      </c>
      <c r="W25" t="s">
        <v>69</v>
      </c>
      <c r="X25">
        <v>204.22800000000001</v>
      </c>
      <c r="Y25" t="s">
        <v>69</v>
      </c>
      <c r="Z25" t="s">
        <v>69</v>
      </c>
      <c r="AA25">
        <v>126</v>
      </c>
      <c r="AB25" t="s">
        <v>119</v>
      </c>
      <c r="AC25" t="s">
        <v>69</v>
      </c>
      <c r="AD25" t="s">
        <v>120</v>
      </c>
      <c r="AE25" t="s">
        <v>69</v>
      </c>
      <c r="AF25">
        <v>147.131</v>
      </c>
      <c r="AG25" t="s">
        <v>69</v>
      </c>
      <c r="AH25" t="s">
        <v>69</v>
      </c>
      <c r="AI25">
        <v>127</v>
      </c>
      <c r="AJ25" t="s">
        <v>70</v>
      </c>
      <c r="AK25" t="s">
        <v>69</v>
      </c>
      <c r="AL25" t="s">
        <v>71</v>
      </c>
      <c r="AM25" t="s">
        <v>69</v>
      </c>
      <c r="AN25">
        <v>75.066999999999993</v>
      </c>
      <c r="AO25" t="s">
        <v>69</v>
      </c>
      <c r="AP25" t="s">
        <v>69</v>
      </c>
      <c r="AQ25">
        <v>129</v>
      </c>
      <c r="AR25" t="s">
        <v>155</v>
      </c>
      <c r="AS25" t="s">
        <v>153</v>
      </c>
      <c r="AT25" t="s">
        <v>150</v>
      </c>
      <c r="AU25" t="s">
        <v>153</v>
      </c>
      <c r="AV25">
        <v>105.093</v>
      </c>
      <c r="AW25" t="s">
        <v>69</v>
      </c>
      <c r="AX25" t="s">
        <v>69</v>
      </c>
      <c r="AY25">
        <v>152</v>
      </c>
      <c r="AZ25" t="s">
        <v>74</v>
      </c>
      <c r="BA25" t="s">
        <v>69</v>
      </c>
      <c r="BB25" t="s">
        <v>75</v>
      </c>
      <c r="BC25" t="s">
        <v>69</v>
      </c>
      <c r="BD25">
        <v>174.203</v>
      </c>
      <c r="BE25" t="s">
        <v>69</v>
      </c>
      <c r="BF25" t="s">
        <v>69</v>
      </c>
      <c r="BG25">
        <v>154</v>
      </c>
      <c r="BH25" t="s">
        <v>74</v>
      </c>
      <c r="BI25" t="s">
        <v>69</v>
      </c>
      <c r="BJ25" t="s">
        <v>75</v>
      </c>
      <c r="BK25" t="s">
        <v>69</v>
      </c>
      <c r="BL25">
        <v>174.203</v>
      </c>
      <c r="BM25" t="s">
        <v>69</v>
      </c>
      <c r="BN25" t="s">
        <v>69</v>
      </c>
      <c r="BO25">
        <v>155</v>
      </c>
      <c r="BP25" t="s">
        <v>70</v>
      </c>
      <c r="BQ25" t="s">
        <v>69</v>
      </c>
      <c r="BR25" t="s">
        <v>71</v>
      </c>
      <c r="BS25" t="s">
        <v>69</v>
      </c>
      <c r="BT25">
        <v>75.066999999999993</v>
      </c>
      <c r="BU25" t="s">
        <v>69</v>
      </c>
      <c r="BV25" t="s">
        <v>69</v>
      </c>
    </row>
    <row r="26" spans="1:74" x14ac:dyDescent="0.25">
      <c r="A26">
        <v>7</v>
      </c>
      <c r="B26" t="str">
        <f>HYPERLINK("http://www.ncbi.nlm.nih.gov/protein/NP_056598.2","NP_056598.2")</f>
        <v>NP_056598.2</v>
      </c>
      <c r="C26">
        <v>337449</v>
      </c>
      <c r="D26" t="str">
        <f>HYPERLINK("http://www.ncbi.nlm.nih.gov/Taxonomy/Browser/wwwtax.cgi?mode=Info&amp;id=10090&amp;lvl=3&amp;lin=f&amp;keep=1&amp;srchmode=1&amp;unlock","10090")</f>
        <v>10090</v>
      </c>
      <c r="E26" t="s">
        <v>66</v>
      </c>
      <c r="F26" t="str">
        <f>HYPERLINK("http://www.ncbi.nlm.nih.gov/Taxonomy/Browser/wwwtax.cgi?mode=Info&amp;id=10090&amp;lvl=3&amp;lin=f&amp;keep=1&amp;srchmode=1&amp;unlock","Mus musculus")</f>
        <v>Mus musculus</v>
      </c>
      <c r="G26" t="s">
        <v>104</v>
      </c>
      <c r="H26" t="str">
        <f>HYPERLINK("http://www.ncbi.nlm.nih.gov/protein/NP_056598.2","ubiquitin-like protein ISG15")</f>
        <v>ubiquitin-like protein ISG15</v>
      </c>
      <c r="I26" t="s">
        <v>261</v>
      </c>
      <c r="J26" t="s">
        <v>69</v>
      </c>
      <c r="K26">
        <v>22</v>
      </c>
      <c r="L26" t="s">
        <v>155</v>
      </c>
      <c r="M26" t="s">
        <v>69</v>
      </c>
      <c r="N26" t="s">
        <v>150</v>
      </c>
      <c r="O26" t="s">
        <v>69</v>
      </c>
      <c r="P26">
        <v>105.093</v>
      </c>
      <c r="Q26" t="s">
        <v>69</v>
      </c>
      <c r="R26" t="s">
        <v>69</v>
      </c>
      <c r="S26">
        <v>121</v>
      </c>
      <c r="T26" t="s">
        <v>250</v>
      </c>
      <c r="U26" t="s">
        <v>69</v>
      </c>
      <c r="V26" t="s">
        <v>152</v>
      </c>
      <c r="W26" t="s">
        <v>69</v>
      </c>
      <c r="X26">
        <v>204.22800000000001</v>
      </c>
      <c r="Y26" t="s">
        <v>69</v>
      </c>
      <c r="Z26" t="s">
        <v>69</v>
      </c>
      <c r="AA26">
        <v>125</v>
      </c>
      <c r="AB26" t="s">
        <v>119</v>
      </c>
      <c r="AC26" t="s">
        <v>69</v>
      </c>
      <c r="AD26" t="s">
        <v>120</v>
      </c>
      <c r="AE26" t="s">
        <v>69</v>
      </c>
      <c r="AF26">
        <v>147.131</v>
      </c>
      <c r="AG26" t="s">
        <v>69</v>
      </c>
      <c r="AH26" t="s">
        <v>69</v>
      </c>
      <c r="AI26">
        <v>126</v>
      </c>
      <c r="AJ26" t="s">
        <v>70</v>
      </c>
      <c r="AK26" t="s">
        <v>69</v>
      </c>
      <c r="AL26" t="s">
        <v>71</v>
      </c>
      <c r="AM26" t="s">
        <v>69</v>
      </c>
      <c r="AN26">
        <v>75.066999999999993</v>
      </c>
      <c r="AO26" t="s">
        <v>69</v>
      </c>
      <c r="AP26" t="s">
        <v>69</v>
      </c>
      <c r="AQ26">
        <v>128</v>
      </c>
      <c r="AR26" t="s">
        <v>146</v>
      </c>
      <c r="AS26" t="s">
        <v>69</v>
      </c>
      <c r="AT26" t="s">
        <v>71</v>
      </c>
      <c r="AU26" t="s">
        <v>69</v>
      </c>
      <c r="AV26">
        <v>115.13200000000001</v>
      </c>
      <c r="AW26" t="s">
        <v>69</v>
      </c>
      <c r="AX26" t="s">
        <v>69</v>
      </c>
      <c r="AY26">
        <v>151</v>
      </c>
      <c r="AZ26" t="s">
        <v>74</v>
      </c>
      <c r="BA26" t="s">
        <v>69</v>
      </c>
      <c r="BB26" t="s">
        <v>75</v>
      </c>
      <c r="BC26" t="s">
        <v>69</v>
      </c>
      <c r="BD26">
        <v>174.203</v>
      </c>
      <c r="BE26" t="s">
        <v>69</v>
      </c>
      <c r="BF26" t="s">
        <v>69</v>
      </c>
      <c r="BG26">
        <v>153</v>
      </c>
      <c r="BH26" t="s">
        <v>74</v>
      </c>
      <c r="BI26" t="s">
        <v>69</v>
      </c>
      <c r="BJ26" t="s">
        <v>75</v>
      </c>
      <c r="BK26" t="s">
        <v>69</v>
      </c>
      <c r="BL26">
        <v>174.203</v>
      </c>
      <c r="BM26" t="s">
        <v>69</v>
      </c>
      <c r="BN26" t="s">
        <v>69</v>
      </c>
      <c r="BO26">
        <v>154</v>
      </c>
      <c r="BP26" t="s">
        <v>70</v>
      </c>
      <c r="BQ26" t="s">
        <v>69</v>
      </c>
      <c r="BR26" t="s">
        <v>71</v>
      </c>
      <c r="BS26" t="s">
        <v>69</v>
      </c>
      <c r="BT26">
        <v>75.066999999999993</v>
      </c>
      <c r="BU26" t="s">
        <v>69</v>
      </c>
      <c r="BV26" t="s">
        <v>69</v>
      </c>
    </row>
    <row r="27" spans="1:74" x14ac:dyDescent="0.25">
      <c r="A27">
        <v>7</v>
      </c>
      <c r="B27" t="str">
        <f>HYPERLINK("http://www.ncbi.nlm.nih.gov/protein/NP_001100170.1","NP_001100170.1")</f>
        <v>NP_001100170.1</v>
      </c>
      <c r="C27">
        <v>158159</v>
      </c>
      <c r="D27" t="str">
        <f>HYPERLINK("http://www.ncbi.nlm.nih.gov/Taxonomy/Browser/wwwtax.cgi?mode=Info&amp;id=10116&amp;lvl=3&amp;lin=f&amp;keep=1&amp;srchmode=1&amp;unlock","10116")</f>
        <v>10116</v>
      </c>
      <c r="E27" t="s">
        <v>66</v>
      </c>
      <c r="F27" t="str">
        <f>HYPERLINK("http://www.ncbi.nlm.nih.gov/Taxonomy/Browser/wwwtax.cgi?mode=Info&amp;id=10116&amp;lvl=3&amp;lin=f&amp;keep=1&amp;srchmode=1&amp;unlock","Rattus norvegicus")</f>
        <v>Rattus norvegicus</v>
      </c>
      <c r="G27" t="s">
        <v>102</v>
      </c>
      <c r="H27" t="str">
        <f>HYPERLINK("http://www.ncbi.nlm.nih.gov/protein/NP_001100170.1","ubiquitin-like protein ISG15")</f>
        <v>ubiquitin-like protein ISG15</v>
      </c>
      <c r="I27" t="s">
        <v>261</v>
      </c>
      <c r="J27" t="s">
        <v>69</v>
      </c>
      <c r="K27">
        <v>22</v>
      </c>
      <c r="L27" t="s">
        <v>155</v>
      </c>
      <c r="M27" t="s">
        <v>69</v>
      </c>
      <c r="N27" t="s">
        <v>150</v>
      </c>
      <c r="O27" t="s">
        <v>69</v>
      </c>
      <c r="P27">
        <v>105.093</v>
      </c>
      <c r="Q27" t="s">
        <v>69</v>
      </c>
      <c r="R27" t="s">
        <v>69</v>
      </c>
      <c r="S27">
        <v>122</v>
      </c>
      <c r="T27" t="s">
        <v>250</v>
      </c>
      <c r="U27" t="s">
        <v>69</v>
      </c>
      <c r="V27" t="s">
        <v>152</v>
      </c>
      <c r="W27" t="s">
        <v>69</v>
      </c>
      <c r="X27">
        <v>204.22800000000001</v>
      </c>
      <c r="Y27" t="s">
        <v>69</v>
      </c>
      <c r="Z27" t="s">
        <v>69</v>
      </c>
      <c r="AA27">
        <v>126</v>
      </c>
      <c r="AB27" t="s">
        <v>153</v>
      </c>
      <c r="AC27" t="s">
        <v>153</v>
      </c>
      <c r="AD27" t="s">
        <v>148</v>
      </c>
      <c r="AE27" t="s">
        <v>153</v>
      </c>
      <c r="AF27">
        <v>132.119</v>
      </c>
      <c r="AG27" t="s">
        <v>69</v>
      </c>
      <c r="AH27" t="s">
        <v>69</v>
      </c>
      <c r="AI27">
        <v>127</v>
      </c>
      <c r="AJ27" t="s">
        <v>70</v>
      </c>
      <c r="AK27" t="s">
        <v>69</v>
      </c>
      <c r="AL27" t="s">
        <v>71</v>
      </c>
      <c r="AM27" t="s">
        <v>69</v>
      </c>
      <c r="AN27">
        <v>75.066999999999993</v>
      </c>
      <c r="AO27" t="s">
        <v>69</v>
      </c>
      <c r="AP27" t="s">
        <v>69</v>
      </c>
      <c r="AQ27">
        <v>129</v>
      </c>
      <c r="AR27" t="s">
        <v>146</v>
      </c>
      <c r="AS27" t="s">
        <v>69</v>
      </c>
      <c r="AT27" t="s">
        <v>71</v>
      </c>
      <c r="AU27" t="s">
        <v>69</v>
      </c>
      <c r="AV27">
        <v>115.13200000000001</v>
      </c>
      <c r="AW27" t="s">
        <v>69</v>
      </c>
      <c r="AX27" t="s">
        <v>69</v>
      </c>
      <c r="AY27">
        <v>152</v>
      </c>
      <c r="AZ27" t="s">
        <v>74</v>
      </c>
      <c r="BA27" t="s">
        <v>69</v>
      </c>
      <c r="BB27" t="s">
        <v>75</v>
      </c>
      <c r="BC27" t="s">
        <v>69</v>
      </c>
      <c r="BD27">
        <v>174.203</v>
      </c>
      <c r="BE27" t="s">
        <v>69</v>
      </c>
      <c r="BF27" t="s">
        <v>69</v>
      </c>
      <c r="BG27">
        <v>154</v>
      </c>
      <c r="BH27" t="s">
        <v>74</v>
      </c>
      <c r="BI27" t="s">
        <v>69</v>
      </c>
      <c r="BJ27" t="s">
        <v>75</v>
      </c>
      <c r="BK27" t="s">
        <v>69</v>
      </c>
      <c r="BL27">
        <v>174.203</v>
      </c>
      <c r="BM27" t="s">
        <v>69</v>
      </c>
      <c r="BN27" t="s">
        <v>69</v>
      </c>
      <c r="BO27">
        <v>155</v>
      </c>
      <c r="BP27" t="s">
        <v>70</v>
      </c>
      <c r="BQ27" t="s">
        <v>69</v>
      </c>
      <c r="BR27" t="s">
        <v>71</v>
      </c>
      <c r="BS27" t="s">
        <v>69</v>
      </c>
      <c r="BT27">
        <v>75.066999999999993</v>
      </c>
      <c r="BU27" t="s">
        <v>69</v>
      </c>
      <c r="BV27" t="s">
        <v>69</v>
      </c>
    </row>
    <row r="28" spans="1:74" x14ac:dyDescent="0.25">
      <c r="A28">
        <v>7</v>
      </c>
      <c r="B28" t="str">
        <f>HYPERLINK("http://www.ncbi.nlm.nih.gov/protein/XP_006992396.1","XP_006992396.1")</f>
        <v>XP_006992396.1</v>
      </c>
      <c r="C28">
        <v>54287</v>
      </c>
      <c r="D28" t="str">
        <f>HYPERLINK("http://www.ncbi.nlm.nih.gov/Taxonomy/Browser/wwwtax.cgi?mode=Info&amp;id=230844&amp;lvl=3&amp;lin=f&amp;keep=1&amp;srchmode=1&amp;unlock","230844")</f>
        <v>230844</v>
      </c>
      <c r="E28" t="s">
        <v>66</v>
      </c>
      <c r="F28" t="str">
        <f>HYPERLINK("http://www.ncbi.nlm.nih.gov/Taxonomy/Browser/wwwtax.cgi?mode=Info&amp;id=230844&amp;lvl=3&amp;lin=f&amp;keep=1&amp;srchmode=1&amp;unlock","Peromyscus maniculatus bairdii")</f>
        <v>Peromyscus maniculatus bairdii</v>
      </c>
      <c r="G28" t="s">
        <v>88</v>
      </c>
      <c r="H28" t="str">
        <f>HYPERLINK("http://www.ncbi.nlm.nih.gov/protein/XP_006992396.1","ubiquitin-like protein ISG15")</f>
        <v>ubiquitin-like protein ISG15</v>
      </c>
      <c r="I28" t="s">
        <v>261</v>
      </c>
      <c r="J28" t="s">
        <v>153</v>
      </c>
      <c r="K28">
        <v>22</v>
      </c>
      <c r="L28" t="s">
        <v>155</v>
      </c>
      <c r="M28" t="s">
        <v>69</v>
      </c>
      <c r="N28" t="s">
        <v>150</v>
      </c>
      <c r="O28" t="s">
        <v>69</v>
      </c>
      <c r="P28">
        <v>105.093</v>
      </c>
      <c r="Q28" t="s">
        <v>69</v>
      </c>
      <c r="R28" t="s">
        <v>69</v>
      </c>
      <c r="S28">
        <v>122</v>
      </c>
      <c r="T28" t="s">
        <v>250</v>
      </c>
      <c r="U28" t="s">
        <v>69</v>
      </c>
      <c r="V28" t="s">
        <v>152</v>
      </c>
      <c r="W28" t="s">
        <v>69</v>
      </c>
      <c r="X28">
        <v>204.22800000000001</v>
      </c>
      <c r="Y28" t="s">
        <v>69</v>
      </c>
      <c r="Z28" t="s">
        <v>69</v>
      </c>
      <c r="AA28">
        <v>126</v>
      </c>
      <c r="AB28" t="s">
        <v>119</v>
      </c>
      <c r="AC28" t="s">
        <v>69</v>
      </c>
      <c r="AD28" t="s">
        <v>120</v>
      </c>
      <c r="AE28" t="s">
        <v>69</v>
      </c>
      <c r="AF28">
        <v>147.131</v>
      </c>
      <c r="AG28" t="s">
        <v>69</v>
      </c>
      <c r="AH28" t="s">
        <v>69</v>
      </c>
      <c r="AI28">
        <v>127</v>
      </c>
      <c r="AJ28" t="s">
        <v>70</v>
      </c>
      <c r="AK28" t="s">
        <v>69</v>
      </c>
      <c r="AL28" t="s">
        <v>71</v>
      </c>
      <c r="AM28" t="s">
        <v>69</v>
      </c>
      <c r="AN28">
        <v>75.066999999999993</v>
      </c>
      <c r="AO28" t="s">
        <v>69</v>
      </c>
      <c r="AP28" t="s">
        <v>69</v>
      </c>
      <c r="AQ28">
        <v>129</v>
      </c>
      <c r="AR28" t="s">
        <v>74</v>
      </c>
      <c r="AS28" t="s">
        <v>153</v>
      </c>
      <c r="AT28" t="s">
        <v>75</v>
      </c>
      <c r="AU28" t="s">
        <v>153</v>
      </c>
      <c r="AV28">
        <v>174.203</v>
      </c>
      <c r="AW28" t="s">
        <v>153</v>
      </c>
      <c r="AX28" t="s">
        <v>153</v>
      </c>
      <c r="AY28">
        <v>152</v>
      </c>
      <c r="AZ28" t="s">
        <v>157</v>
      </c>
      <c r="BA28" t="s">
        <v>153</v>
      </c>
      <c r="BB28" t="s">
        <v>75</v>
      </c>
      <c r="BC28" t="s">
        <v>69</v>
      </c>
      <c r="BD28">
        <v>155.15600000000001</v>
      </c>
      <c r="BE28" t="s">
        <v>69</v>
      </c>
      <c r="BF28" t="s">
        <v>69</v>
      </c>
      <c r="BG28">
        <v>154</v>
      </c>
      <c r="BH28" t="s">
        <v>74</v>
      </c>
      <c r="BI28" t="s">
        <v>69</v>
      </c>
      <c r="BJ28" t="s">
        <v>75</v>
      </c>
      <c r="BK28" t="s">
        <v>69</v>
      </c>
      <c r="BL28">
        <v>174.203</v>
      </c>
      <c r="BM28" t="s">
        <v>69</v>
      </c>
      <c r="BN28" t="s">
        <v>69</v>
      </c>
      <c r="BO28">
        <v>155</v>
      </c>
      <c r="BP28" t="s">
        <v>70</v>
      </c>
      <c r="BQ28" t="s">
        <v>69</v>
      </c>
      <c r="BR28" t="s">
        <v>71</v>
      </c>
      <c r="BS28" t="s">
        <v>69</v>
      </c>
      <c r="BT28">
        <v>75.066999999999993</v>
      </c>
      <c r="BU28" t="s">
        <v>69</v>
      </c>
      <c r="BV28" t="s">
        <v>69</v>
      </c>
    </row>
    <row r="29" spans="1:74" x14ac:dyDescent="0.25">
      <c r="A29">
        <v>7</v>
      </c>
      <c r="B29" t="str">
        <f>HYPERLINK("http://www.ncbi.nlm.nih.gov/protein/XP_020729403.1","XP_020729403.1")</f>
        <v>XP_020729403.1</v>
      </c>
      <c r="C29">
        <v>48218</v>
      </c>
      <c r="D29" t="str">
        <f>HYPERLINK("http://www.ncbi.nlm.nih.gov/Taxonomy/Browser/wwwtax.cgi?mode=Info&amp;id=9880&amp;lvl=3&amp;lin=f&amp;keep=1&amp;srchmode=1&amp;unlock","9880")</f>
        <v>9880</v>
      </c>
      <c r="E29" t="s">
        <v>66</v>
      </c>
      <c r="F29" t="str">
        <f>HYPERLINK("http://www.ncbi.nlm.nih.gov/Taxonomy/Browser/wwwtax.cgi?mode=Info&amp;id=9880&amp;lvl=3&amp;lin=f&amp;keep=1&amp;srchmode=1&amp;unlock","Odocoileus virginianus texanus")</f>
        <v>Odocoileus virginianus texanus</v>
      </c>
      <c r="G29" t="s">
        <v>81</v>
      </c>
      <c r="H29" t="str">
        <f>HYPERLINK("http://www.ncbi.nlm.nih.gov/protein/XP_020729403.1","ubiquitin-like protein ISG15")</f>
        <v>ubiquitin-like protein ISG15</v>
      </c>
      <c r="I29" t="s">
        <v>261</v>
      </c>
      <c r="J29" t="s">
        <v>69</v>
      </c>
      <c r="K29">
        <v>24</v>
      </c>
      <c r="L29" t="s">
        <v>155</v>
      </c>
      <c r="M29" t="s">
        <v>69</v>
      </c>
      <c r="N29" t="s">
        <v>150</v>
      </c>
      <c r="O29" t="s">
        <v>69</v>
      </c>
      <c r="P29">
        <v>105.093</v>
      </c>
      <c r="Q29" t="s">
        <v>69</v>
      </c>
      <c r="R29" t="s">
        <v>69</v>
      </c>
      <c r="S29">
        <v>125</v>
      </c>
      <c r="T29" t="s">
        <v>250</v>
      </c>
      <c r="U29" t="s">
        <v>69</v>
      </c>
      <c r="V29" t="s">
        <v>152</v>
      </c>
      <c r="W29" t="s">
        <v>69</v>
      </c>
      <c r="X29">
        <v>204.22800000000001</v>
      </c>
      <c r="Y29" t="s">
        <v>69</v>
      </c>
      <c r="Z29" t="s">
        <v>69</v>
      </c>
      <c r="AA29">
        <v>129</v>
      </c>
      <c r="AB29" t="s">
        <v>119</v>
      </c>
      <c r="AC29" t="s">
        <v>69</v>
      </c>
      <c r="AD29" t="s">
        <v>120</v>
      </c>
      <c r="AE29" t="s">
        <v>69</v>
      </c>
      <c r="AF29">
        <v>147.131</v>
      </c>
      <c r="AG29" t="s">
        <v>69</v>
      </c>
      <c r="AH29" t="s">
        <v>69</v>
      </c>
      <c r="AI29">
        <v>130</v>
      </c>
      <c r="AJ29" t="s">
        <v>70</v>
      </c>
      <c r="AK29" t="s">
        <v>69</v>
      </c>
      <c r="AL29" t="s">
        <v>71</v>
      </c>
      <c r="AM29" t="s">
        <v>69</v>
      </c>
      <c r="AN29">
        <v>75.066999999999993</v>
      </c>
      <c r="AO29" t="s">
        <v>69</v>
      </c>
      <c r="AP29" t="s">
        <v>69</v>
      </c>
      <c r="AQ29">
        <v>132</v>
      </c>
      <c r="AR29" t="s">
        <v>146</v>
      </c>
      <c r="AS29" t="s">
        <v>69</v>
      </c>
      <c r="AT29" t="s">
        <v>71</v>
      </c>
      <c r="AU29" t="s">
        <v>69</v>
      </c>
      <c r="AV29">
        <v>115.13200000000001</v>
      </c>
      <c r="AW29" t="s">
        <v>69</v>
      </c>
      <c r="AX29" t="s">
        <v>69</v>
      </c>
      <c r="AY29">
        <v>155</v>
      </c>
      <c r="AZ29" t="s">
        <v>74</v>
      </c>
      <c r="BA29" t="s">
        <v>69</v>
      </c>
      <c r="BB29" t="s">
        <v>75</v>
      </c>
      <c r="BC29" t="s">
        <v>69</v>
      </c>
      <c r="BD29">
        <v>174.203</v>
      </c>
      <c r="BE29" t="s">
        <v>69</v>
      </c>
      <c r="BF29" t="s">
        <v>69</v>
      </c>
      <c r="BG29">
        <v>157</v>
      </c>
      <c r="BH29" t="s">
        <v>74</v>
      </c>
      <c r="BI29" t="s">
        <v>69</v>
      </c>
      <c r="BJ29" t="s">
        <v>75</v>
      </c>
      <c r="BK29" t="s">
        <v>69</v>
      </c>
      <c r="BL29">
        <v>174.203</v>
      </c>
      <c r="BM29" t="s">
        <v>69</v>
      </c>
      <c r="BN29" t="s">
        <v>69</v>
      </c>
      <c r="BO29">
        <v>158</v>
      </c>
      <c r="BP29" t="s">
        <v>70</v>
      </c>
      <c r="BQ29" t="s">
        <v>69</v>
      </c>
      <c r="BR29" t="s">
        <v>71</v>
      </c>
      <c r="BS29" t="s">
        <v>69</v>
      </c>
      <c r="BT29">
        <v>75.066999999999993</v>
      </c>
      <c r="BU29" t="s">
        <v>69</v>
      </c>
      <c r="BV29" t="s">
        <v>69</v>
      </c>
    </row>
    <row r="30" spans="1:74" x14ac:dyDescent="0.25">
      <c r="A30">
        <v>7</v>
      </c>
      <c r="B30" t="str">
        <f>HYPERLINK("http://www.ncbi.nlm.nih.gov/protein/NP_776791.1","NP_776791.1")</f>
        <v>NP_776791.1</v>
      </c>
      <c r="C30">
        <v>136186</v>
      </c>
      <c r="D30" t="str">
        <f>HYPERLINK("http://www.ncbi.nlm.nih.gov/Taxonomy/Browser/wwwtax.cgi?mode=Info&amp;id=9913&amp;lvl=3&amp;lin=f&amp;keep=1&amp;srchmode=1&amp;unlock","9913")</f>
        <v>9913</v>
      </c>
      <c r="E30" t="s">
        <v>66</v>
      </c>
      <c r="F30" t="str">
        <f>HYPERLINK("http://www.ncbi.nlm.nih.gov/Taxonomy/Browser/wwwtax.cgi?mode=Info&amp;id=9913&amp;lvl=3&amp;lin=f&amp;keep=1&amp;srchmode=1&amp;unlock","Bos taurus")</f>
        <v>Bos taurus</v>
      </c>
      <c r="G30" t="s">
        <v>82</v>
      </c>
      <c r="H30" t="str">
        <f>HYPERLINK("http://www.ncbi.nlm.nih.gov/protein/NP_776791.1","ubiquitin-like protein ISG15")</f>
        <v>ubiquitin-like protein ISG15</v>
      </c>
      <c r="I30" t="s">
        <v>261</v>
      </c>
      <c r="J30" t="s">
        <v>69</v>
      </c>
      <c r="K30">
        <v>22</v>
      </c>
      <c r="L30" t="s">
        <v>155</v>
      </c>
      <c r="M30" t="s">
        <v>69</v>
      </c>
      <c r="N30" t="s">
        <v>150</v>
      </c>
      <c r="O30" t="s">
        <v>69</v>
      </c>
      <c r="P30">
        <v>105.093</v>
      </c>
      <c r="Q30" t="s">
        <v>69</v>
      </c>
      <c r="R30" t="s">
        <v>69</v>
      </c>
      <c r="S30">
        <v>120</v>
      </c>
      <c r="T30" t="s">
        <v>250</v>
      </c>
      <c r="U30" t="s">
        <v>69</v>
      </c>
      <c r="V30" t="s">
        <v>152</v>
      </c>
      <c r="W30" t="s">
        <v>69</v>
      </c>
      <c r="X30">
        <v>204.22800000000001</v>
      </c>
      <c r="Y30" t="s">
        <v>69</v>
      </c>
      <c r="Z30" t="s">
        <v>69</v>
      </c>
      <c r="AA30">
        <v>124</v>
      </c>
      <c r="AB30" t="s">
        <v>119</v>
      </c>
      <c r="AC30" t="s">
        <v>69</v>
      </c>
      <c r="AD30" t="s">
        <v>120</v>
      </c>
      <c r="AE30" t="s">
        <v>69</v>
      </c>
      <c r="AF30">
        <v>147.131</v>
      </c>
      <c r="AG30" t="s">
        <v>69</v>
      </c>
      <c r="AH30" t="s">
        <v>69</v>
      </c>
      <c r="AI30">
        <v>125</v>
      </c>
      <c r="AJ30" t="s">
        <v>70</v>
      </c>
      <c r="AK30" t="s">
        <v>69</v>
      </c>
      <c r="AL30" t="s">
        <v>71</v>
      </c>
      <c r="AM30" t="s">
        <v>69</v>
      </c>
      <c r="AN30">
        <v>75.066999999999993</v>
      </c>
      <c r="AO30" t="s">
        <v>69</v>
      </c>
      <c r="AP30" t="s">
        <v>69</v>
      </c>
      <c r="AQ30">
        <v>127</v>
      </c>
      <c r="AR30" t="s">
        <v>146</v>
      </c>
      <c r="AS30" t="s">
        <v>69</v>
      </c>
      <c r="AT30" t="s">
        <v>71</v>
      </c>
      <c r="AU30" t="s">
        <v>69</v>
      </c>
      <c r="AV30">
        <v>115.13200000000001</v>
      </c>
      <c r="AW30" t="s">
        <v>69</v>
      </c>
      <c r="AX30" t="s">
        <v>69</v>
      </c>
      <c r="AY30">
        <v>150</v>
      </c>
      <c r="AZ30" t="s">
        <v>74</v>
      </c>
      <c r="BA30" t="s">
        <v>69</v>
      </c>
      <c r="BB30" t="s">
        <v>75</v>
      </c>
      <c r="BC30" t="s">
        <v>69</v>
      </c>
      <c r="BD30">
        <v>174.203</v>
      </c>
      <c r="BE30" t="s">
        <v>69</v>
      </c>
      <c r="BF30" t="s">
        <v>69</v>
      </c>
      <c r="BG30">
        <v>152</v>
      </c>
      <c r="BH30" t="s">
        <v>74</v>
      </c>
      <c r="BI30" t="s">
        <v>69</v>
      </c>
      <c r="BJ30" t="s">
        <v>75</v>
      </c>
      <c r="BK30" t="s">
        <v>69</v>
      </c>
      <c r="BL30">
        <v>174.203</v>
      </c>
      <c r="BM30" t="s">
        <v>69</v>
      </c>
      <c r="BN30" t="s">
        <v>69</v>
      </c>
      <c r="BO30">
        <v>153</v>
      </c>
      <c r="BP30" t="s">
        <v>70</v>
      </c>
      <c r="BQ30" t="s">
        <v>69</v>
      </c>
      <c r="BR30" t="s">
        <v>71</v>
      </c>
      <c r="BS30" t="s">
        <v>69</v>
      </c>
      <c r="BT30">
        <v>75.066999999999993</v>
      </c>
      <c r="BU30" t="s">
        <v>69</v>
      </c>
      <c r="BV30" t="s">
        <v>69</v>
      </c>
    </row>
    <row r="31" spans="1:74" x14ac:dyDescent="0.25">
      <c r="A31">
        <v>7</v>
      </c>
      <c r="B31" t="str">
        <f>HYPERLINK("http://www.ncbi.nlm.nih.gov/protein/XP_015999857.2","XP_015999857.2")</f>
        <v>XP_015999857.2</v>
      </c>
      <c r="C31">
        <v>117142</v>
      </c>
      <c r="D31" t="str">
        <f>HYPERLINK("http://www.ncbi.nlm.nih.gov/Taxonomy/Browser/wwwtax.cgi?mode=Info&amp;id=9407&amp;lvl=3&amp;lin=f&amp;keep=1&amp;srchmode=1&amp;unlock","9407")</f>
        <v>9407</v>
      </c>
      <c r="E31" t="s">
        <v>66</v>
      </c>
      <c r="F31" t="str">
        <f>HYPERLINK("http://www.ncbi.nlm.nih.gov/Taxonomy/Browser/wwwtax.cgi?mode=Info&amp;id=9407&amp;lvl=3&amp;lin=f&amp;keep=1&amp;srchmode=1&amp;unlock","Rousettus aegyptiacus")</f>
        <v>Rousettus aegyptiacus</v>
      </c>
      <c r="G31" t="s">
        <v>103</v>
      </c>
      <c r="H31" t="str">
        <f>HYPERLINK("http://www.ncbi.nlm.nih.gov/protein/XP_015999857.2","ubiquitin-like protein ISG15")</f>
        <v>ubiquitin-like protein ISG15</v>
      </c>
      <c r="I31" t="s">
        <v>261</v>
      </c>
      <c r="J31" t="s">
        <v>69</v>
      </c>
      <c r="K31">
        <v>21</v>
      </c>
      <c r="L31" t="s">
        <v>155</v>
      </c>
      <c r="M31" t="s">
        <v>69</v>
      </c>
      <c r="N31" t="s">
        <v>150</v>
      </c>
      <c r="O31" t="s">
        <v>69</v>
      </c>
      <c r="P31">
        <v>105.093</v>
      </c>
      <c r="Q31" t="s">
        <v>69</v>
      </c>
      <c r="R31" t="s">
        <v>69</v>
      </c>
      <c r="S31">
        <v>122</v>
      </c>
      <c r="T31" t="s">
        <v>250</v>
      </c>
      <c r="U31" t="s">
        <v>69</v>
      </c>
      <c r="V31" t="s">
        <v>152</v>
      </c>
      <c r="W31" t="s">
        <v>69</v>
      </c>
      <c r="X31">
        <v>204.22800000000001</v>
      </c>
      <c r="Y31" t="s">
        <v>69</v>
      </c>
      <c r="Z31" t="s">
        <v>69</v>
      </c>
      <c r="AA31">
        <v>126</v>
      </c>
      <c r="AB31" t="s">
        <v>147</v>
      </c>
      <c r="AC31" t="s">
        <v>153</v>
      </c>
      <c r="AD31" t="s">
        <v>148</v>
      </c>
      <c r="AE31" t="s">
        <v>153</v>
      </c>
      <c r="AF31">
        <v>146.14599999999999</v>
      </c>
      <c r="AG31" t="s">
        <v>69</v>
      </c>
      <c r="AH31" t="s">
        <v>69</v>
      </c>
      <c r="AI31">
        <v>127</v>
      </c>
      <c r="AJ31" t="s">
        <v>70</v>
      </c>
      <c r="AK31" t="s">
        <v>69</v>
      </c>
      <c r="AL31" t="s">
        <v>71</v>
      </c>
      <c r="AM31" t="s">
        <v>69</v>
      </c>
      <c r="AN31">
        <v>75.066999999999993</v>
      </c>
      <c r="AO31" t="s">
        <v>69</v>
      </c>
      <c r="AP31" t="s">
        <v>69</v>
      </c>
      <c r="AQ31">
        <v>129</v>
      </c>
      <c r="AR31" t="s">
        <v>115</v>
      </c>
      <c r="AS31" t="s">
        <v>153</v>
      </c>
      <c r="AT31" t="s">
        <v>71</v>
      </c>
      <c r="AU31" t="s">
        <v>69</v>
      </c>
      <c r="AV31">
        <v>117.148</v>
      </c>
      <c r="AW31" t="s">
        <v>69</v>
      </c>
      <c r="AX31" t="s">
        <v>69</v>
      </c>
      <c r="AY31">
        <v>152</v>
      </c>
      <c r="AZ31" t="s">
        <v>74</v>
      </c>
      <c r="BA31" t="s">
        <v>69</v>
      </c>
      <c r="BB31" t="s">
        <v>75</v>
      </c>
      <c r="BC31" t="s">
        <v>69</v>
      </c>
      <c r="BD31">
        <v>174.203</v>
      </c>
      <c r="BE31" t="s">
        <v>69</v>
      </c>
      <c r="BF31" t="s">
        <v>69</v>
      </c>
      <c r="BG31">
        <v>154</v>
      </c>
      <c r="BH31" t="s">
        <v>74</v>
      </c>
      <c r="BI31" t="s">
        <v>69</v>
      </c>
      <c r="BJ31" t="s">
        <v>75</v>
      </c>
      <c r="BK31" t="s">
        <v>69</v>
      </c>
      <c r="BL31">
        <v>174.203</v>
      </c>
      <c r="BM31" t="s">
        <v>69</v>
      </c>
      <c r="BN31" t="s">
        <v>69</v>
      </c>
      <c r="BO31">
        <v>155</v>
      </c>
      <c r="BP31" t="s">
        <v>70</v>
      </c>
      <c r="BQ31" t="s">
        <v>69</v>
      </c>
      <c r="BR31" t="s">
        <v>71</v>
      </c>
      <c r="BS31" t="s">
        <v>69</v>
      </c>
      <c r="BT31">
        <v>75.066999999999993</v>
      </c>
      <c r="BU31" t="s">
        <v>69</v>
      </c>
      <c r="BV31" t="s">
        <v>69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31"/>
  <sheetViews>
    <sheetView workbookViewId="0"/>
  </sheetViews>
  <sheetFormatPr defaultRowHeight="15" x14ac:dyDescent="0.25"/>
  <cols>
    <col min="8" max="8" width="32.42578125" customWidth="1"/>
  </cols>
  <sheetData>
    <row r="1" spans="1:9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row>
    <row r="2" spans="1:98" x14ac:dyDescent="0.25">
      <c r="A2">
        <v>7</v>
      </c>
      <c r="B2" t="str">
        <f>HYPERLINK("http://www.ncbi.nlm.nih.gov/protein/NP_005092.1","NP_005092.1")</f>
        <v>NP_005092.1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HYPERLINK("http://www.ncbi.nlm.nih.gov/protein/NP_005092.1","ubiquitin-like protein ISG15")</f>
        <v>ubiquitin-like protein ISG15</v>
      </c>
      <c r="I2" t="s">
        <v>261</v>
      </c>
      <c r="J2" t="s">
        <v>69</v>
      </c>
      <c r="K2">
        <v>20</v>
      </c>
      <c r="L2" t="s">
        <v>155</v>
      </c>
      <c r="M2" t="s">
        <v>69</v>
      </c>
      <c r="N2" t="s">
        <v>150</v>
      </c>
      <c r="O2" t="s">
        <v>69</v>
      </c>
      <c r="P2">
        <v>105.093</v>
      </c>
      <c r="Q2" t="s">
        <v>69</v>
      </c>
      <c r="R2" t="s">
        <v>69</v>
      </c>
      <c r="S2">
        <v>23</v>
      </c>
      <c r="T2" t="s">
        <v>116</v>
      </c>
      <c r="U2" t="s">
        <v>69</v>
      </c>
      <c r="V2" t="s">
        <v>117</v>
      </c>
      <c r="W2" t="s">
        <v>69</v>
      </c>
      <c r="X2">
        <v>149.208</v>
      </c>
      <c r="Y2" t="s">
        <v>69</v>
      </c>
      <c r="Z2" t="s">
        <v>69</v>
      </c>
      <c r="AA2">
        <v>27</v>
      </c>
      <c r="AB2" t="s">
        <v>119</v>
      </c>
      <c r="AC2" t="s">
        <v>69</v>
      </c>
      <c r="AD2" t="s">
        <v>120</v>
      </c>
      <c r="AE2" t="s">
        <v>69</v>
      </c>
      <c r="AF2">
        <v>147.131</v>
      </c>
      <c r="AG2" t="s">
        <v>69</v>
      </c>
      <c r="AH2" t="s">
        <v>69</v>
      </c>
      <c r="AI2">
        <v>30</v>
      </c>
      <c r="AJ2" t="s">
        <v>73</v>
      </c>
      <c r="AK2" t="s">
        <v>69</v>
      </c>
      <c r="AL2" t="s">
        <v>71</v>
      </c>
      <c r="AM2" t="s">
        <v>69</v>
      </c>
      <c r="AN2">
        <v>89.093999999999994</v>
      </c>
      <c r="AO2" t="s">
        <v>69</v>
      </c>
      <c r="AP2" t="s">
        <v>69</v>
      </c>
      <c r="AQ2">
        <v>121</v>
      </c>
      <c r="AR2" t="s">
        <v>72</v>
      </c>
      <c r="AS2" t="s">
        <v>69</v>
      </c>
      <c r="AT2" t="s">
        <v>71</v>
      </c>
      <c r="AU2" t="s">
        <v>69</v>
      </c>
      <c r="AV2">
        <v>131.17500000000001</v>
      </c>
      <c r="AW2" t="s">
        <v>69</v>
      </c>
      <c r="AX2" t="s">
        <v>69</v>
      </c>
      <c r="AY2">
        <v>129</v>
      </c>
      <c r="AZ2" t="s">
        <v>76</v>
      </c>
      <c r="BA2" t="s">
        <v>69</v>
      </c>
      <c r="BB2" t="s">
        <v>75</v>
      </c>
      <c r="BC2" t="s">
        <v>69</v>
      </c>
      <c r="BD2">
        <v>146.18899999999999</v>
      </c>
      <c r="BE2" t="s">
        <v>69</v>
      </c>
      <c r="BF2" t="s">
        <v>69</v>
      </c>
      <c r="BG2">
        <v>131</v>
      </c>
      <c r="BH2" t="s">
        <v>72</v>
      </c>
      <c r="BI2" t="s">
        <v>69</v>
      </c>
      <c r="BJ2" t="s">
        <v>71</v>
      </c>
      <c r="BK2" t="s">
        <v>69</v>
      </c>
      <c r="BL2">
        <v>131.17500000000001</v>
      </c>
      <c r="BM2" t="s">
        <v>69</v>
      </c>
      <c r="BN2" t="s">
        <v>69</v>
      </c>
      <c r="BO2">
        <v>132</v>
      </c>
      <c r="BP2" t="s">
        <v>119</v>
      </c>
      <c r="BQ2" t="s">
        <v>69</v>
      </c>
      <c r="BR2" t="s">
        <v>120</v>
      </c>
      <c r="BS2" t="s">
        <v>69</v>
      </c>
      <c r="BT2">
        <v>147.131</v>
      </c>
      <c r="BU2" t="s">
        <v>69</v>
      </c>
      <c r="BV2" t="s">
        <v>69</v>
      </c>
      <c r="BW2">
        <v>151</v>
      </c>
      <c r="BX2" t="s">
        <v>153</v>
      </c>
      <c r="BY2" t="s">
        <v>69</v>
      </c>
      <c r="BZ2" t="s">
        <v>148</v>
      </c>
      <c r="CA2" t="s">
        <v>69</v>
      </c>
      <c r="CB2">
        <v>132.119</v>
      </c>
      <c r="CC2" t="s">
        <v>69</v>
      </c>
      <c r="CD2" t="s">
        <v>69</v>
      </c>
      <c r="CE2">
        <v>152</v>
      </c>
      <c r="CF2" t="s">
        <v>72</v>
      </c>
      <c r="CG2" t="s">
        <v>69</v>
      </c>
      <c r="CH2" t="s">
        <v>71</v>
      </c>
      <c r="CI2" t="s">
        <v>69</v>
      </c>
      <c r="CJ2">
        <v>131.17500000000001</v>
      </c>
      <c r="CK2" t="s">
        <v>69</v>
      </c>
      <c r="CL2" t="s">
        <v>69</v>
      </c>
      <c r="CM2">
        <v>154</v>
      </c>
      <c r="CN2" t="s">
        <v>72</v>
      </c>
      <c r="CO2" t="s">
        <v>69</v>
      </c>
      <c r="CP2" t="s">
        <v>71</v>
      </c>
      <c r="CQ2" t="s">
        <v>69</v>
      </c>
      <c r="CR2">
        <v>131.17500000000001</v>
      </c>
      <c r="CS2" t="s">
        <v>69</v>
      </c>
      <c r="CT2" t="s">
        <v>69</v>
      </c>
    </row>
    <row r="3" spans="1:98" x14ac:dyDescent="0.25">
      <c r="A3">
        <v>7</v>
      </c>
      <c r="B3" t="str">
        <f>HYPERLINK("http://www.ncbi.nlm.nih.gov/protein/NP_001253735.1","NP_001253735.1")</f>
        <v>NP_001253735.1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HYPERLINK("http://www.ncbi.nlm.nih.gov/protein/NP_001253735.1","ubiquitin-like protein ISG15")</f>
        <v>ubiquitin-like protein ISG15</v>
      </c>
      <c r="I3" t="s">
        <v>261</v>
      </c>
      <c r="J3" t="s">
        <v>69</v>
      </c>
      <c r="K3">
        <v>20</v>
      </c>
      <c r="L3" t="s">
        <v>155</v>
      </c>
      <c r="M3" t="s">
        <v>69</v>
      </c>
      <c r="N3" t="s">
        <v>150</v>
      </c>
      <c r="O3" t="s">
        <v>69</v>
      </c>
      <c r="P3">
        <v>105.093</v>
      </c>
      <c r="Q3" t="s">
        <v>69</v>
      </c>
      <c r="R3" t="s">
        <v>69</v>
      </c>
      <c r="S3">
        <v>23</v>
      </c>
      <c r="T3" t="s">
        <v>116</v>
      </c>
      <c r="U3" t="s">
        <v>69</v>
      </c>
      <c r="V3" t="s">
        <v>117</v>
      </c>
      <c r="W3" t="s">
        <v>69</v>
      </c>
      <c r="X3">
        <v>149.208</v>
      </c>
      <c r="Y3" t="s">
        <v>69</v>
      </c>
      <c r="Z3" t="s">
        <v>69</v>
      </c>
      <c r="AA3">
        <v>27</v>
      </c>
      <c r="AB3" t="s">
        <v>119</v>
      </c>
      <c r="AC3" t="s">
        <v>69</v>
      </c>
      <c r="AD3" t="s">
        <v>120</v>
      </c>
      <c r="AE3" t="s">
        <v>69</v>
      </c>
      <c r="AF3">
        <v>147.131</v>
      </c>
      <c r="AG3" t="s">
        <v>69</v>
      </c>
      <c r="AH3" t="s">
        <v>69</v>
      </c>
      <c r="AI3">
        <v>30</v>
      </c>
      <c r="AJ3" t="s">
        <v>73</v>
      </c>
      <c r="AK3" t="s">
        <v>69</v>
      </c>
      <c r="AL3" t="s">
        <v>71</v>
      </c>
      <c r="AM3" t="s">
        <v>69</v>
      </c>
      <c r="AN3">
        <v>89.093999999999994</v>
      </c>
      <c r="AO3" t="s">
        <v>69</v>
      </c>
      <c r="AP3" t="s">
        <v>69</v>
      </c>
      <c r="AQ3">
        <v>121</v>
      </c>
      <c r="AR3" t="s">
        <v>72</v>
      </c>
      <c r="AS3" t="s">
        <v>69</v>
      </c>
      <c r="AT3" t="s">
        <v>71</v>
      </c>
      <c r="AU3" t="s">
        <v>69</v>
      </c>
      <c r="AV3">
        <v>131.17500000000001</v>
      </c>
      <c r="AW3" t="s">
        <v>69</v>
      </c>
      <c r="AX3" t="s">
        <v>69</v>
      </c>
      <c r="AY3">
        <v>129</v>
      </c>
      <c r="AZ3" t="s">
        <v>76</v>
      </c>
      <c r="BA3" t="s">
        <v>69</v>
      </c>
      <c r="BB3" t="s">
        <v>75</v>
      </c>
      <c r="BC3" t="s">
        <v>69</v>
      </c>
      <c r="BD3">
        <v>146.18899999999999</v>
      </c>
      <c r="BE3" t="s">
        <v>69</v>
      </c>
      <c r="BF3" t="s">
        <v>69</v>
      </c>
      <c r="BG3">
        <v>131</v>
      </c>
      <c r="BH3" t="s">
        <v>72</v>
      </c>
      <c r="BI3" t="s">
        <v>69</v>
      </c>
      <c r="BJ3" t="s">
        <v>71</v>
      </c>
      <c r="BK3" t="s">
        <v>69</v>
      </c>
      <c r="BL3">
        <v>131.17500000000001</v>
      </c>
      <c r="BM3" t="s">
        <v>69</v>
      </c>
      <c r="BN3" t="s">
        <v>69</v>
      </c>
      <c r="BO3">
        <v>132</v>
      </c>
      <c r="BP3" t="s">
        <v>119</v>
      </c>
      <c r="BQ3" t="s">
        <v>69</v>
      </c>
      <c r="BR3" t="s">
        <v>120</v>
      </c>
      <c r="BS3" t="s">
        <v>69</v>
      </c>
      <c r="BT3">
        <v>147.131</v>
      </c>
      <c r="BU3" t="s">
        <v>69</v>
      </c>
      <c r="BV3" t="s">
        <v>69</v>
      </c>
      <c r="BW3">
        <v>151</v>
      </c>
      <c r="BX3" t="s">
        <v>153</v>
      </c>
      <c r="BY3" t="s">
        <v>69</v>
      </c>
      <c r="BZ3" t="s">
        <v>148</v>
      </c>
      <c r="CA3" t="s">
        <v>69</v>
      </c>
      <c r="CB3">
        <v>132.119</v>
      </c>
      <c r="CC3" t="s">
        <v>69</v>
      </c>
      <c r="CD3" t="s">
        <v>69</v>
      </c>
      <c r="CE3">
        <v>152</v>
      </c>
      <c r="CF3" t="s">
        <v>72</v>
      </c>
      <c r="CG3" t="s">
        <v>69</v>
      </c>
      <c r="CH3" t="s">
        <v>71</v>
      </c>
      <c r="CI3" t="s">
        <v>69</v>
      </c>
      <c r="CJ3">
        <v>131.17500000000001</v>
      </c>
      <c r="CK3" t="s">
        <v>69</v>
      </c>
      <c r="CL3" t="s">
        <v>69</v>
      </c>
      <c r="CM3">
        <v>154</v>
      </c>
      <c r="CN3" t="s">
        <v>72</v>
      </c>
      <c r="CO3" t="s">
        <v>69</v>
      </c>
      <c r="CP3" t="s">
        <v>71</v>
      </c>
      <c r="CQ3" t="s">
        <v>69</v>
      </c>
      <c r="CR3">
        <v>131.17500000000001</v>
      </c>
      <c r="CS3" t="s">
        <v>69</v>
      </c>
      <c r="CT3" t="s">
        <v>69</v>
      </c>
    </row>
    <row r="4" spans="1:98" x14ac:dyDescent="0.25">
      <c r="A4">
        <v>7</v>
      </c>
      <c r="B4" t="str">
        <f>HYPERLINK("http://www.ncbi.nlm.nih.gov/protein/XP_003918909.1","XP_003918909.1")</f>
        <v>XP_003918909.1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HYPERLINK("http://www.ncbi.nlm.nih.gov/protein/XP_003918909.1","ubiquitin-like protein ISG15 isoform X2")</f>
        <v>ubiquitin-like protein ISG15 isoform X2</v>
      </c>
      <c r="I4" t="s">
        <v>261</v>
      </c>
      <c r="J4" t="s">
        <v>69</v>
      </c>
      <c r="K4">
        <v>20</v>
      </c>
      <c r="L4" t="s">
        <v>155</v>
      </c>
      <c r="M4" t="s">
        <v>69</v>
      </c>
      <c r="N4" t="s">
        <v>150</v>
      </c>
      <c r="O4" t="s">
        <v>69</v>
      </c>
      <c r="P4">
        <v>105.093</v>
      </c>
      <c r="Q4" t="s">
        <v>69</v>
      </c>
      <c r="R4" t="s">
        <v>69</v>
      </c>
      <c r="S4">
        <v>23</v>
      </c>
      <c r="T4" t="s">
        <v>116</v>
      </c>
      <c r="U4" t="s">
        <v>69</v>
      </c>
      <c r="V4" t="s">
        <v>117</v>
      </c>
      <c r="W4" t="s">
        <v>69</v>
      </c>
      <c r="X4">
        <v>149.208</v>
      </c>
      <c r="Y4" t="s">
        <v>69</v>
      </c>
      <c r="Z4" t="s">
        <v>69</v>
      </c>
      <c r="AA4">
        <v>27</v>
      </c>
      <c r="AB4" t="s">
        <v>119</v>
      </c>
      <c r="AC4" t="s">
        <v>69</v>
      </c>
      <c r="AD4" t="s">
        <v>120</v>
      </c>
      <c r="AE4" t="s">
        <v>69</v>
      </c>
      <c r="AF4">
        <v>147.131</v>
      </c>
      <c r="AG4" t="s">
        <v>69</v>
      </c>
      <c r="AH4" t="s">
        <v>69</v>
      </c>
      <c r="AI4">
        <v>30</v>
      </c>
      <c r="AJ4" t="s">
        <v>73</v>
      </c>
      <c r="AK4" t="s">
        <v>69</v>
      </c>
      <c r="AL4" t="s">
        <v>71</v>
      </c>
      <c r="AM4" t="s">
        <v>69</v>
      </c>
      <c r="AN4">
        <v>89.093999999999994</v>
      </c>
      <c r="AO4" t="s">
        <v>69</v>
      </c>
      <c r="AP4" t="s">
        <v>69</v>
      </c>
      <c r="AQ4">
        <v>121</v>
      </c>
      <c r="AR4" t="s">
        <v>72</v>
      </c>
      <c r="AS4" t="s">
        <v>69</v>
      </c>
      <c r="AT4" t="s">
        <v>71</v>
      </c>
      <c r="AU4" t="s">
        <v>69</v>
      </c>
      <c r="AV4">
        <v>131.17500000000001</v>
      </c>
      <c r="AW4" t="s">
        <v>69</v>
      </c>
      <c r="AX4" t="s">
        <v>69</v>
      </c>
      <c r="AY4">
        <v>129</v>
      </c>
      <c r="AZ4" t="s">
        <v>76</v>
      </c>
      <c r="BA4" t="s">
        <v>69</v>
      </c>
      <c r="BB4" t="s">
        <v>75</v>
      </c>
      <c r="BC4" t="s">
        <v>69</v>
      </c>
      <c r="BD4">
        <v>146.18899999999999</v>
      </c>
      <c r="BE4" t="s">
        <v>69</v>
      </c>
      <c r="BF4" t="s">
        <v>69</v>
      </c>
      <c r="BG4">
        <v>131</v>
      </c>
      <c r="BH4" t="s">
        <v>72</v>
      </c>
      <c r="BI4" t="s">
        <v>69</v>
      </c>
      <c r="BJ4" t="s">
        <v>71</v>
      </c>
      <c r="BK4" t="s">
        <v>69</v>
      </c>
      <c r="BL4">
        <v>131.17500000000001</v>
      </c>
      <c r="BM4" t="s">
        <v>69</v>
      </c>
      <c r="BN4" t="s">
        <v>69</v>
      </c>
      <c r="BO4">
        <v>132</v>
      </c>
      <c r="BP4" t="s">
        <v>119</v>
      </c>
      <c r="BQ4" t="s">
        <v>69</v>
      </c>
      <c r="BR4" t="s">
        <v>120</v>
      </c>
      <c r="BS4" t="s">
        <v>69</v>
      </c>
      <c r="BT4">
        <v>147.131</v>
      </c>
      <c r="BU4" t="s">
        <v>69</v>
      </c>
      <c r="BV4" t="s">
        <v>69</v>
      </c>
      <c r="BW4">
        <v>151</v>
      </c>
      <c r="BX4" t="s">
        <v>153</v>
      </c>
      <c r="BY4" t="s">
        <v>69</v>
      </c>
      <c r="BZ4" t="s">
        <v>148</v>
      </c>
      <c r="CA4" t="s">
        <v>69</v>
      </c>
      <c r="CB4">
        <v>132.119</v>
      </c>
      <c r="CC4" t="s">
        <v>69</v>
      </c>
      <c r="CD4" t="s">
        <v>69</v>
      </c>
      <c r="CE4">
        <v>152</v>
      </c>
      <c r="CF4" t="s">
        <v>72</v>
      </c>
      <c r="CG4" t="s">
        <v>69</v>
      </c>
      <c r="CH4" t="s">
        <v>71</v>
      </c>
      <c r="CI4" t="s">
        <v>69</v>
      </c>
      <c r="CJ4">
        <v>131.17500000000001</v>
      </c>
      <c r="CK4" t="s">
        <v>69</v>
      </c>
      <c r="CL4" t="s">
        <v>69</v>
      </c>
      <c r="CM4">
        <v>154</v>
      </c>
      <c r="CN4" t="s">
        <v>72</v>
      </c>
      <c r="CO4" t="s">
        <v>69</v>
      </c>
      <c r="CP4" t="s">
        <v>71</v>
      </c>
      <c r="CQ4" t="s">
        <v>69</v>
      </c>
      <c r="CR4">
        <v>131.17500000000001</v>
      </c>
      <c r="CS4" t="s">
        <v>69</v>
      </c>
      <c r="CT4" t="s">
        <v>69</v>
      </c>
    </row>
    <row r="5" spans="1:98" x14ac:dyDescent="0.25">
      <c r="A5">
        <v>7</v>
      </c>
      <c r="B5" t="str">
        <f>HYPERLINK("http://www.ncbi.nlm.nih.gov/protein/XP_007979280.1","XP_007979280.1")</f>
        <v>XP_007979280.1</v>
      </c>
      <c r="C5">
        <v>62302</v>
      </c>
      <c r="D5" t="str">
        <f>HYPERLINK("http://www.ncbi.nlm.nih.gov/Taxonomy/Browser/wwwtax.cgi?mode=Info&amp;id=60711&amp;lvl=3&amp;lin=f&amp;keep=1&amp;srchmode=1&amp;unlock","60711")</f>
        <v>60711</v>
      </c>
      <c r="E5" t="s">
        <v>66</v>
      </c>
      <c r="F5" t="str">
        <f>HYPERLINK("http://www.ncbi.nlm.nih.gov/Taxonomy/Browser/wwwtax.cgi?mode=Info&amp;id=60711&amp;lvl=3&amp;lin=f&amp;keep=1&amp;srchmode=1&amp;unlock","Chlorocebus sabaeus")</f>
        <v>Chlorocebus sabaeus</v>
      </c>
      <c r="G5" t="s">
        <v>78</v>
      </c>
      <c r="H5" t="str">
        <f>HYPERLINK("http://www.ncbi.nlm.nih.gov/protein/XP_007979280.1","ubiquitin-like protein ISG15")</f>
        <v>ubiquitin-like protein ISG15</v>
      </c>
      <c r="I5" t="s">
        <v>261</v>
      </c>
      <c r="J5" t="s">
        <v>69</v>
      </c>
      <c r="K5">
        <v>20</v>
      </c>
      <c r="L5" t="s">
        <v>155</v>
      </c>
      <c r="M5" t="s">
        <v>69</v>
      </c>
      <c r="N5" t="s">
        <v>150</v>
      </c>
      <c r="O5" t="s">
        <v>69</v>
      </c>
      <c r="P5">
        <v>105.093</v>
      </c>
      <c r="Q5" t="s">
        <v>69</v>
      </c>
      <c r="R5" t="s">
        <v>69</v>
      </c>
      <c r="S5">
        <v>23</v>
      </c>
      <c r="T5" t="s">
        <v>116</v>
      </c>
      <c r="U5" t="s">
        <v>69</v>
      </c>
      <c r="V5" t="s">
        <v>117</v>
      </c>
      <c r="W5" t="s">
        <v>69</v>
      </c>
      <c r="X5">
        <v>149.208</v>
      </c>
      <c r="Y5" t="s">
        <v>69</v>
      </c>
      <c r="Z5" t="s">
        <v>69</v>
      </c>
      <c r="AA5">
        <v>27</v>
      </c>
      <c r="AB5" t="s">
        <v>119</v>
      </c>
      <c r="AC5" t="s">
        <v>69</v>
      </c>
      <c r="AD5" t="s">
        <v>120</v>
      </c>
      <c r="AE5" t="s">
        <v>69</v>
      </c>
      <c r="AF5">
        <v>147.131</v>
      </c>
      <c r="AG5" t="s">
        <v>69</v>
      </c>
      <c r="AH5" t="s">
        <v>69</v>
      </c>
      <c r="AI5">
        <v>30</v>
      </c>
      <c r="AJ5" t="s">
        <v>73</v>
      </c>
      <c r="AK5" t="s">
        <v>69</v>
      </c>
      <c r="AL5" t="s">
        <v>71</v>
      </c>
      <c r="AM5" t="s">
        <v>69</v>
      </c>
      <c r="AN5">
        <v>89.093999999999994</v>
      </c>
      <c r="AO5" t="s">
        <v>69</v>
      </c>
      <c r="AP5" t="s">
        <v>69</v>
      </c>
      <c r="AQ5">
        <v>121</v>
      </c>
      <c r="AR5" t="s">
        <v>72</v>
      </c>
      <c r="AS5" t="s">
        <v>69</v>
      </c>
      <c r="AT5" t="s">
        <v>71</v>
      </c>
      <c r="AU5" t="s">
        <v>69</v>
      </c>
      <c r="AV5">
        <v>131.17500000000001</v>
      </c>
      <c r="AW5" t="s">
        <v>69</v>
      </c>
      <c r="AX5" t="s">
        <v>69</v>
      </c>
      <c r="AY5">
        <v>129</v>
      </c>
      <c r="AZ5" t="s">
        <v>76</v>
      </c>
      <c r="BA5" t="s">
        <v>69</v>
      </c>
      <c r="BB5" t="s">
        <v>75</v>
      </c>
      <c r="BC5" t="s">
        <v>69</v>
      </c>
      <c r="BD5">
        <v>146.18899999999999</v>
      </c>
      <c r="BE5" t="s">
        <v>69</v>
      </c>
      <c r="BF5" t="s">
        <v>69</v>
      </c>
      <c r="BG5">
        <v>131</v>
      </c>
      <c r="BH5" t="s">
        <v>72</v>
      </c>
      <c r="BI5" t="s">
        <v>69</v>
      </c>
      <c r="BJ5" t="s">
        <v>71</v>
      </c>
      <c r="BK5" t="s">
        <v>69</v>
      </c>
      <c r="BL5">
        <v>131.17500000000001</v>
      </c>
      <c r="BM5" t="s">
        <v>69</v>
      </c>
      <c r="BN5" t="s">
        <v>69</v>
      </c>
      <c r="BO5">
        <v>132</v>
      </c>
      <c r="BP5" t="s">
        <v>119</v>
      </c>
      <c r="BQ5" t="s">
        <v>69</v>
      </c>
      <c r="BR5" t="s">
        <v>120</v>
      </c>
      <c r="BS5" t="s">
        <v>69</v>
      </c>
      <c r="BT5">
        <v>147.131</v>
      </c>
      <c r="BU5" t="s">
        <v>69</v>
      </c>
      <c r="BV5" t="s">
        <v>69</v>
      </c>
      <c r="BW5">
        <v>151</v>
      </c>
      <c r="BX5" t="s">
        <v>153</v>
      </c>
      <c r="BY5" t="s">
        <v>69</v>
      </c>
      <c r="BZ5" t="s">
        <v>148</v>
      </c>
      <c r="CA5" t="s">
        <v>69</v>
      </c>
      <c r="CB5">
        <v>132.119</v>
      </c>
      <c r="CC5" t="s">
        <v>69</v>
      </c>
      <c r="CD5" t="s">
        <v>69</v>
      </c>
      <c r="CE5">
        <v>152</v>
      </c>
      <c r="CF5" t="s">
        <v>72</v>
      </c>
      <c r="CG5" t="s">
        <v>69</v>
      </c>
      <c r="CH5" t="s">
        <v>71</v>
      </c>
      <c r="CI5" t="s">
        <v>69</v>
      </c>
      <c r="CJ5">
        <v>131.17500000000001</v>
      </c>
      <c r="CK5" t="s">
        <v>69</v>
      </c>
      <c r="CL5" t="s">
        <v>69</v>
      </c>
      <c r="CM5">
        <v>154</v>
      </c>
      <c r="CN5" t="s">
        <v>72</v>
      </c>
      <c r="CO5" t="s">
        <v>69</v>
      </c>
      <c r="CP5" t="s">
        <v>71</v>
      </c>
      <c r="CQ5" t="s">
        <v>69</v>
      </c>
      <c r="CR5">
        <v>131.17500000000001</v>
      </c>
      <c r="CS5" t="s">
        <v>69</v>
      </c>
      <c r="CT5" t="s">
        <v>69</v>
      </c>
    </row>
    <row r="6" spans="1:98" x14ac:dyDescent="0.25">
      <c r="A6">
        <v>7</v>
      </c>
      <c r="B6" t="str">
        <f>HYPERLINK("http://www.ncbi.nlm.nih.gov/protein/XP_008998462.1","XP_008998462.1")</f>
        <v>XP_008998462.1</v>
      </c>
      <c r="C6">
        <v>87664</v>
      </c>
      <c r="D6" t="str">
        <f>HYPERLINK("http://www.ncbi.nlm.nih.gov/Taxonomy/Browser/wwwtax.cgi?mode=Info&amp;id=9483&amp;lvl=3&amp;lin=f&amp;keep=1&amp;srchmode=1&amp;unlock","9483")</f>
        <v>9483</v>
      </c>
      <c r="E6" t="s">
        <v>66</v>
      </c>
      <c r="F6" t="str">
        <f>HYPERLINK("http://www.ncbi.nlm.nih.gov/Taxonomy/Browser/wwwtax.cgi?mode=Info&amp;id=9483&amp;lvl=3&amp;lin=f&amp;keep=1&amp;srchmode=1&amp;unlock","Callithrix jacchus")</f>
        <v>Callithrix jacchus</v>
      </c>
      <c r="G6" t="s">
        <v>106</v>
      </c>
      <c r="H6" t="str">
        <f>HYPERLINK("http://www.ncbi.nlm.nih.gov/protein/XP_008998462.1","ubiquitin-like protein ISG15")</f>
        <v>ubiquitin-like protein ISG15</v>
      </c>
      <c r="I6" t="s">
        <v>261</v>
      </c>
      <c r="J6" t="s">
        <v>69</v>
      </c>
      <c r="K6">
        <v>20</v>
      </c>
      <c r="L6" t="s">
        <v>155</v>
      </c>
      <c r="M6" t="s">
        <v>69</v>
      </c>
      <c r="N6" t="s">
        <v>150</v>
      </c>
      <c r="O6" t="s">
        <v>69</v>
      </c>
      <c r="P6">
        <v>105.093</v>
      </c>
      <c r="Q6" t="s">
        <v>69</v>
      </c>
      <c r="R6" t="s">
        <v>69</v>
      </c>
      <c r="S6">
        <v>23</v>
      </c>
      <c r="T6" t="s">
        <v>116</v>
      </c>
      <c r="U6" t="s">
        <v>69</v>
      </c>
      <c r="V6" t="s">
        <v>117</v>
      </c>
      <c r="W6" t="s">
        <v>69</v>
      </c>
      <c r="X6">
        <v>149.208</v>
      </c>
      <c r="Y6" t="s">
        <v>69</v>
      </c>
      <c r="Z6" t="s">
        <v>69</v>
      </c>
      <c r="AA6">
        <v>27</v>
      </c>
      <c r="AB6" t="s">
        <v>119</v>
      </c>
      <c r="AC6" t="s">
        <v>69</v>
      </c>
      <c r="AD6" t="s">
        <v>120</v>
      </c>
      <c r="AE6" t="s">
        <v>69</v>
      </c>
      <c r="AF6">
        <v>147.131</v>
      </c>
      <c r="AG6" t="s">
        <v>69</v>
      </c>
      <c r="AH6" t="s">
        <v>69</v>
      </c>
      <c r="AI6">
        <v>30</v>
      </c>
      <c r="AJ6" t="s">
        <v>73</v>
      </c>
      <c r="AK6" t="s">
        <v>69</v>
      </c>
      <c r="AL6" t="s">
        <v>71</v>
      </c>
      <c r="AM6" t="s">
        <v>69</v>
      </c>
      <c r="AN6">
        <v>89.093999999999994</v>
      </c>
      <c r="AO6" t="s">
        <v>69</v>
      </c>
      <c r="AP6" t="s">
        <v>69</v>
      </c>
      <c r="AQ6">
        <v>121</v>
      </c>
      <c r="AR6" t="s">
        <v>72</v>
      </c>
      <c r="AS6" t="s">
        <v>69</v>
      </c>
      <c r="AT6" t="s">
        <v>71</v>
      </c>
      <c r="AU6" t="s">
        <v>69</v>
      </c>
      <c r="AV6">
        <v>131.17500000000001</v>
      </c>
      <c r="AW6" t="s">
        <v>69</v>
      </c>
      <c r="AX6" t="s">
        <v>69</v>
      </c>
      <c r="AY6">
        <v>129</v>
      </c>
      <c r="AZ6" t="s">
        <v>76</v>
      </c>
      <c r="BA6" t="s">
        <v>69</v>
      </c>
      <c r="BB6" t="s">
        <v>75</v>
      </c>
      <c r="BC6" t="s">
        <v>69</v>
      </c>
      <c r="BD6">
        <v>146.18899999999999</v>
      </c>
      <c r="BE6" t="s">
        <v>69</v>
      </c>
      <c r="BF6" t="s">
        <v>69</v>
      </c>
      <c r="BG6">
        <v>131</v>
      </c>
      <c r="BH6" t="s">
        <v>116</v>
      </c>
      <c r="BI6" t="s">
        <v>153</v>
      </c>
      <c r="BJ6" t="s">
        <v>117</v>
      </c>
      <c r="BK6" t="s">
        <v>153</v>
      </c>
      <c r="BL6">
        <v>149.208</v>
      </c>
      <c r="BM6" t="s">
        <v>69</v>
      </c>
      <c r="BN6" t="s">
        <v>69</v>
      </c>
      <c r="BO6">
        <v>132</v>
      </c>
      <c r="BP6" t="s">
        <v>119</v>
      </c>
      <c r="BQ6" t="s">
        <v>69</v>
      </c>
      <c r="BR6" t="s">
        <v>120</v>
      </c>
      <c r="BS6" t="s">
        <v>69</v>
      </c>
      <c r="BT6">
        <v>147.131</v>
      </c>
      <c r="BU6" t="s">
        <v>69</v>
      </c>
      <c r="BV6" t="s">
        <v>69</v>
      </c>
      <c r="BW6">
        <v>151</v>
      </c>
      <c r="BX6" t="s">
        <v>153</v>
      </c>
      <c r="BY6" t="s">
        <v>69</v>
      </c>
      <c r="BZ6" t="s">
        <v>148</v>
      </c>
      <c r="CA6" t="s">
        <v>69</v>
      </c>
      <c r="CB6">
        <v>132.119</v>
      </c>
      <c r="CC6" t="s">
        <v>69</v>
      </c>
      <c r="CD6" t="s">
        <v>69</v>
      </c>
      <c r="CE6">
        <v>152</v>
      </c>
      <c r="CF6" t="s">
        <v>72</v>
      </c>
      <c r="CG6" t="s">
        <v>69</v>
      </c>
      <c r="CH6" t="s">
        <v>71</v>
      </c>
      <c r="CI6" t="s">
        <v>69</v>
      </c>
      <c r="CJ6">
        <v>131.17500000000001</v>
      </c>
      <c r="CK6" t="s">
        <v>69</v>
      </c>
      <c r="CL6" t="s">
        <v>69</v>
      </c>
      <c r="CM6">
        <v>154</v>
      </c>
      <c r="CN6" t="s">
        <v>72</v>
      </c>
      <c r="CO6" t="s">
        <v>69</v>
      </c>
      <c r="CP6" t="s">
        <v>71</v>
      </c>
      <c r="CQ6" t="s">
        <v>69</v>
      </c>
      <c r="CR6">
        <v>131.17500000000001</v>
      </c>
      <c r="CS6" t="s">
        <v>69</v>
      </c>
      <c r="CT6" t="s">
        <v>69</v>
      </c>
    </row>
    <row r="7" spans="1:98" x14ac:dyDescent="0.25">
      <c r="A7">
        <v>7</v>
      </c>
      <c r="B7" t="str">
        <f>HYPERLINK("http://www.ncbi.nlm.nih.gov/protein/XP_006164142.1","XP_006164142.1")</f>
        <v>XP_006164142.1</v>
      </c>
      <c r="C7">
        <v>59507</v>
      </c>
      <c r="D7" t="str">
        <f>HYPERLINK("http://www.ncbi.nlm.nih.gov/Taxonomy/Browser/wwwtax.cgi?mode=Info&amp;id=246437&amp;lvl=3&amp;lin=f&amp;keep=1&amp;srchmode=1&amp;unlock","246437")</f>
        <v>246437</v>
      </c>
      <c r="E7" t="s">
        <v>66</v>
      </c>
      <c r="F7" t="str">
        <f>HYPERLINK("http://www.ncbi.nlm.nih.gov/Taxonomy/Browser/wwwtax.cgi?mode=Info&amp;id=246437&amp;lvl=3&amp;lin=f&amp;keep=1&amp;srchmode=1&amp;unlock","Tupaia chinensis")</f>
        <v>Tupaia chinensis</v>
      </c>
      <c r="G7" t="s">
        <v>97</v>
      </c>
      <c r="H7" t="str">
        <f>HYPERLINK("http://www.ncbi.nlm.nih.gov/protein/XP_006164142.1","ubiquitin-like protein ISG15 isoform X1")</f>
        <v>ubiquitin-like protein ISG15 isoform X1</v>
      </c>
      <c r="I7" t="s">
        <v>261</v>
      </c>
      <c r="J7" t="s">
        <v>153</v>
      </c>
      <c r="K7">
        <v>20</v>
      </c>
      <c r="L7" t="s">
        <v>155</v>
      </c>
      <c r="M7" t="s">
        <v>69</v>
      </c>
      <c r="N7" t="s">
        <v>150</v>
      </c>
      <c r="O7" t="s">
        <v>69</v>
      </c>
      <c r="P7">
        <v>105.093</v>
      </c>
      <c r="Q7" t="s">
        <v>69</v>
      </c>
      <c r="R7" t="s">
        <v>69</v>
      </c>
      <c r="S7">
        <v>23</v>
      </c>
      <c r="T7" t="s">
        <v>116</v>
      </c>
      <c r="U7" t="s">
        <v>69</v>
      </c>
      <c r="V7" t="s">
        <v>117</v>
      </c>
      <c r="W7" t="s">
        <v>69</v>
      </c>
      <c r="X7">
        <v>149.208</v>
      </c>
      <c r="Y7" t="s">
        <v>69</v>
      </c>
      <c r="Z7" t="s">
        <v>69</v>
      </c>
      <c r="AA7">
        <v>27</v>
      </c>
      <c r="AB7" t="s">
        <v>119</v>
      </c>
      <c r="AC7" t="s">
        <v>69</v>
      </c>
      <c r="AD7" t="s">
        <v>120</v>
      </c>
      <c r="AE7" t="s">
        <v>69</v>
      </c>
      <c r="AF7">
        <v>147.131</v>
      </c>
      <c r="AG7" t="s">
        <v>69</v>
      </c>
      <c r="AH7" t="s">
        <v>69</v>
      </c>
      <c r="AI7">
        <v>30</v>
      </c>
      <c r="AJ7" t="s">
        <v>147</v>
      </c>
      <c r="AK7" t="s">
        <v>153</v>
      </c>
      <c r="AL7" t="s">
        <v>148</v>
      </c>
      <c r="AM7" t="s">
        <v>153</v>
      </c>
      <c r="AN7">
        <v>146.14599999999999</v>
      </c>
      <c r="AO7" t="s">
        <v>153</v>
      </c>
      <c r="AP7" t="s">
        <v>153</v>
      </c>
      <c r="AQ7">
        <v>121</v>
      </c>
      <c r="AR7" t="s">
        <v>72</v>
      </c>
      <c r="AS7" t="s">
        <v>69</v>
      </c>
      <c r="AT7" t="s">
        <v>71</v>
      </c>
      <c r="AU7" t="s">
        <v>69</v>
      </c>
      <c r="AV7">
        <v>131.17500000000001</v>
      </c>
      <c r="AW7" t="s">
        <v>69</v>
      </c>
      <c r="AX7" t="s">
        <v>69</v>
      </c>
      <c r="AY7">
        <v>129</v>
      </c>
      <c r="AZ7" t="s">
        <v>74</v>
      </c>
      <c r="BA7" t="s">
        <v>153</v>
      </c>
      <c r="BB7" t="s">
        <v>75</v>
      </c>
      <c r="BC7" t="s">
        <v>69</v>
      </c>
      <c r="BD7">
        <v>174.203</v>
      </c>
      <c r="BE7" t="s">
        <v>69</v>
      </c>
      <c r="BF7" t="s">
        <v>69</v>
      </c>
      <c r="BG7">
        <v>131</v>
      </c>
      <c r="BH7" t="s">
        <v>116</v>
      </c>
      <c r="BI7" t="s">
        <v>153</v>
      </c>
      <c r="BJ7" t="s">
        <v>117</v>
      </c>
      <c r="BK7" t="s">
        <v>153</v>
      </c>
      <c r="BL7">
        <v>149.208</v>
      </c>
      <c r="BM7" t="s">
        <v>69</v>
      </c>
      <c r="BN7" t="s">
        <v>69</v>
      </c>
      <c r="BO7">
        <v>132</v>
      </c>
      <c r="BP7" t="s">
        <v>119</v>
      </c>
      <c r="BQ7" t="s">
        <v>69</v>
      </c>
      <c r="BR7" t="s">
        <v>120</v>
      </c>
      <c r="BS7" t="s">
        <v>69</v>
      </c>
      <c r="BT7">
        <v>147.131</v>
      </c>
      <c r="BU7" t="s">
        <v>69</v>
      </c>
      <c r="BV7" t="s">
        <v>69</v>
      </c>
      <c r="BW7">
        <v>151</v>
      </c>
      <c r="BX7" t="s">
        <v>157</v>
      </c>
      <c r="BY7" t="s">
        <v>153</v>
      </c>
      <c r="BZ7" t="s">
        <v>75</v>
      </c>
      <c r="CA7" t="s">
        <v>153</v>
      </c>
      <c r="CB7">
        <v>155.15600000000001</v>
      </c>
      <c r="CC7" t="s">
        <v>69</v>
      </c>
      <c r="CD7" t="s">
        <v>69</v>
      </c>
      <c r="CE7">
        <v>152</v>
      </c>
      <c r="CF7" t="s">
        <v>72</v>
      </c>
      <c r="CG7" t="s">
        <v>69</v>
      </c>
      <c r="CH7" t="s">
        <v>71</v>
      </c>
      <c r="CI7" t="s">
        <v>69</v>
      </c>
      <c r="CJ7">
        <v>131.17500000000001</v>
      </c>
      <c r="CK7" t="s">
        <v>69</v>
      </c>
      <c r="CL7" t="s">
        <v>69</v>
      </c>
      <c r="CM7">
        <v>154</v>
      </c>
      <c r="CN7" t="s">
        <v>72</v>
      </c>
      <c r="CO7" t="s">
        <v>69</v>
      </c>
      <c r="CP7" t="s">
        <v>71</v>
      </c>
      <c r="CQ7" t="s">
        <v>69</v>
      </c>
      <c r="CR7">
        <v>131.17500000000001</v>
      </c>
      <c r="CS7" t="s">
        <v>69</v>
      </c>
      <c r="CT7" t="s">
        <v>69</v>
      </c>
    </row>
    <row r="8" spans="1:98" x14ac:dyDescent="0.25">
      <c r="A8">
        <v>7</v>
      </c>
      <c r="B8" t="str">
        <f>HYPERLINK("http://www.ncbi.nlm.nih.gov/protein/AFH66859.1","AFH66859.1")</f>
        <v>AFH66859.1</v>
      </c>
      <c r="C8">
        <v>382</v>
      </c>
      <c r="D8" t="str">
        <f>HYPERLINK("http://www.ncbi.nlm.nih.gov/Taxonomy/Browser/wwwtax.cgi?mode=Info&amp;id=37347&amp;lvl=3&amp;lin=f&amp;keep=1&amp;srchmode=1&amp;unlock","37347")</f>
        <v>37347</v>
      </c>
      <c r="E8" t="s">
        <v>66</v>
      </c>
      <c r="F8" t="str">
        <f>HYPERLINK("http://www.ncbi.nlm.nih.gov/Taxonomy/Browser/wwwtax.cgi?mode=Info&amp;id=37347&amp;lvl=3&amp;lin=f&amp;keep=1&amp;srchmode=1&amp;unlock","Tupaia belangeri")</f>
        <v>Tupaia belangeri</v>
      </c>
      <c r="G8" t="s">
        <v>262</v>
      </c>
      <c r="H8" t="str">
        <f>HYPERLINK("http://www.ncbi.nlm.nih.gov/protein/AFH66859.1","ISG15")</f>
        <v>ISG15</v>
      </c>
      <c r="I8" t="s">
        <v>261</v>
      </c>
      <c r="J8" t="s">
        <v>153</v>
      </c>
      <c r="K8">
        <v>20</v>
      </c>
      <c r="L8" t="s">
        <v>155</v>
      </c>
      <c r="M8" t="s">
        <v>69</v>
      </c>
      <c r="N8" t="s">
        <v>150</v>
      </c>
      <c r="O8" t="s">
        <v>69</v>
      </c>
      <c r="P8">
        <v>105.093</v>
      </c>
      <c r="Q8" t="s">
        <v>69</v>
      </c>
      <c r="R8" t="s">
        <v>69</v>
      </c>
      <c r="S8">
        <v>23</v>
      </c>
      <c r="T8" t="s">
        <v>116</v>
      </c>
      <c r="U8" t="s">
        <v>69</v>
      </c>
      <c r="V8" t="s">
        <v>117</v>
      </c>
      <c r="W8" t="s">
        <v>69</v>
      </c>
      <c r="X8">
        <v>149.208</v>
      </c>
      <c r="Y8" t="s">
        <v>69</v>
      </c>
      <c r="Z8" t="s">
        <v>69</v>
      </c>
      <c r="AA8">
        <v>27</v>
      </c>
      <c r="AB8" t="s">
        <v>119</v>
      </c>
      <c r="AC8" t="s">
        <v>69</v>
      </c>
      <c r="AD8" t="s">
        <v>120</v>
      </c>
      <c r="AE8" t="s">
        <v>69</v>
      </c>
      <c r="AF8">
        <v>147.131</v>
      </c>
      <c r="AG8" t="s">
        <v>69</v>
      </c>
      <c r="AH8" t="s">
        <v>69</v>
      </c>
      <c r="AI8">
        <v>30</v>
      </c>
      <c r="AJ8" t="s">
        <v>147</v>
      </c>
      <c r="AK8" t="s">
        <v>153</v>
      </c>
      <c r="AL8" t="s">
        <v>148</v>
      </c>
      <c r="AM8" t="s">
        <v>153</v>
      </c>
      <c r="AN8">
        <v>146.14599999999999</v>
      </c>
      <c r="AO8" t="s">
        <v>153</v>
      </c>
      <c r="AP8" t="s">
        <v>153</v>
      </c>
      <c r="AQ8">
        <v>121</v>
      </c>
      <c r="AR8" t="s">
        <v>72</v>
      </c>
      <c r="AS8" t="s">
        <v>69</v>
      </c>
      <c r="AT8" t="s">
        <v>71</v>
      </c>
      <c r="AU8" t="s">
        <v>69</v>
      </c>
      <c r="AV8">
        <v>131.17500000000001</v>
      </c>
      <c r="AW8" t="s">
        <v>69</v>
      </c>
      <c r="AX8" t="s">
        <v>69</v>
      </c>
      <c r="AY8">
        <v>129</v>
      </c>
      <c r="AZ8" t="s">
        <v>74</v>
      </c>
      <c r="BA8" t="s">
        <v>153</v>
      </c>
      <c r="BB8" t="s">
        <v>75</v>
      </c>
      <c r="BC8" t="s">
        <v>69</v>
      </c>
      <c r="BD8">
        <v>174.203</v>
      </c>
      <c r="BE8" t="s">
        <v>69</v>
      </c>
      <c r="BF8" t="s">
        <v>69</v>
      </c>
      <c r="BG8">
        <v>131</v>
      </c>
      <c r="BH8" t="s">
        <v>116</v>
      </c>
      <c r="BI8" t="s">
        <v>153</v>
      </c>
      <c r="BJ8" t="s">
        <v>117</v>
      </c>
      <c r="BK8" t="s">
        <v>153</v>
      </c>
      <c r="BL8">
        <v>149.208</v>
      </c>
      <c r="BM8" t="s">
        <v>69</v>
      </c>
      <c r="BN8" t="s">
        <v>69</v>
      </c>
      <c r="BO8">
        <v>132</v>
      </c>
      <c r="BP8" t="s">
        <v>119</v>
      </c>
      <c r="BQ8" t="s">
        <v>69</v>
      </c>
      <c r="BR8" t="s">
        <v>120</v>
      </c>
      <c r="BS8" t="s">
        <v>69</v>
      </c>
      <c r="BT8">
        <v>147.131</v>
      </c>
      <c r="BU8" t="s">
        <v>69</v>
      </c>
      <c r="BV8" t="s">
        <v>69</v>
      </c>
      <c r="BW8">
        <v>151</v>
      </c>
      <c r="BX8" t="s">
        <v>157</v>
      </c>
      <c r="BY8" t="s">
        <v>153</v>
      </c>
      <c r="BZ8" t="s">
        <v>75</v>
      </c>
      <c r="CA8" t="s">
        <v>153</v>
      </c>
      <c r="CB8">
        <v>155.15600000000001</v>
      </c>
      <c r="CC8" t="s">
        <v>69</v>
      </c>
      <c r="CD8" t="s">
        <v>69</v>
      </c>
      <c r="CE8">
        <v>152</v>
      </c>
      <c r="CF8" t="s">
        <v>72</v>
      </c>
      <c r="CG8" t="s">
        <v>69</v>
      </c>
      <c r="CH8" t="s">
        <v>71</v>
      </c>
      <c r="CI8" t="s">
        <v>69</v>
      </c>
      <c r="CJ8">
        <v>131.17500000000001</v>
      </c>
      <c r="CK8" t="s">
        <v>69</v>
      </c>
      <c r="CL8" t="s">
        <v>69</v>
      </c>
      <c r="CM8">
        <v>154</v>
      </c>
      <c r="CN8" t="s">
        <v>72</v>
      </c>
      <c r="CO8" t="s">
        <v>69</v>
      </c>
      <c r="CP8" t="s">
        <v>71</v>
      </c>
      <c r="CQ8" t="s">
        <v>69</v>
      </c>
      <c r="CR8">
        <v>131.17500000000001</v>
      </c>
      <c r="CS8" t="s">
        <v>69</v>
      </c>
      <c r="CT8" t="s">
        <v>69</v>
      </c>
    </row>
    <row r="9" spans="1:98" x14ac:dyDescent="0.25">
      <c r="A9">
        <v>7</v>
      </c>
      <c r="B9" t="str">
        <f>HYPERLINK("http://www.ncbi.nlm.nih.gov/protein/XP_007094659.1","XP_007094659.1")</f>
        <v>XP_007094659.1</v>
      </c>
      <c r="C9">
        <v>56089</v>
      </c>
      <c r="D9" t="str">
        <f>HYPERLINK("http://www.ncbi.nlm.nih.gov/Taxonomy/Browser/wwwtax.cgi?mode=Info&amp;id=9694&amp;lvl=3&amp;lin=f&amp;keep=1&amp;srchmode=1&amp;unlock","9694")</f>
        <v>9694</v>
      </c>
      <c r="E9" t="s">
        <v>66</v>
      </c>
      <c r="F9" t="str">
        <f>HYPERLINK("http://www.ncbi.nlm.nih.gov/Taxonomy/Browser/wwwtax.cgi?mode=Info&amp;id=9694&amp;lvl=3&amp;lin=f&amp;keep=1&amp;srchmode=1&amp;unlock","Panthera tigris")</f>
        <v>Panthera tigris</v>
      </c>
      <c r="G9" t="s">
        <v>89</v>
      </c>
      <c r="H9" t="str">
        <f>HYPERLINK("http://www.ncbi.nlm.nih.gov/protein/XP_007094659.1","ubiquitin-like protein ISG15")</f>
        <v>ubiquitin-like protein ISG15</v>
      </c>
      <c r="I9" t="s">
        <v>261</v>
      </c>
      <c r="J9" t="s">
        <v>153</v>
      </c>
      <c r="K9">
        <v>20</v>
      </c>
      <c r="L9" t="s">
        <v>74</v>
      </c>
      <c r="M9" t="s">
        <v>153</v>
      </c>
      <c r="N9" t="s">
        <v>75</v>
      </c>
      <c r="O9" t="s">
        <v>153</v>
      </c>
      <c r="P9">
        <v>174.203</v>
      </c>
      <c r="Q9" t="s">
        <v>153</v>
      </c>
      <c r="R9" t="s">
        <v>153</v>
      </c>
      <c r="S9">
        <v>23</v>
      </c>
      <c r="T9" t="s">
        <v>116</v>
      </c>
      <c r="U9" t="s">
        <v>69</v>
      </c>
      <c r="V9" t="s">
        <v>117</v>
      </c>
      <c r="W9" t="s">
        <v>69</v>
      </c>
      <c r="X9">
        <v>149.208</v>
      </c>
      <c r="Y9" t="s">
        <v>69</v>
      </c>
      <c r="Z9" t="s">
        <v>69</v>
      </c>
      <c r="AA9">
        <v>27</v>
      </c>
      <c r="AB9" t="s">
        <v>119</v>
      </c>
      <c r="AC9" t="s">
        <v>69</v>
      </c>
      <c r="AD9" t="s">
        <v>120</v>
      </c>
      <c r="AE9" t="s">
        <v>69</v>
      </c>
      <c r="AF9">
        <v>147.131</v>
      </c>
      <c r="AG9" t="s">
        <v>69</v>
      </c>
      <c r="AH9" t="s">
        <v>69</v>
      </c>
      <c r="AI9">
        <v>30</v>
      </c>
      <c r="AJ9" t="s">
        <v>147</v>
      </c>
      <c r="AK9" t="s">
        <v>153</v>
      </c>
      <c r="AL9" t="s">
        <v>148</v>
      </c>
      <c r="AM9" t="s">
        <v>153</v>
      </c>
      <c r="AN9">
        <v>146.14599999999999</v>
      </c>
      <c r="AO9" t="s">
        <v>153</v>
      </c>
      <c r="AP9" t="s">
        <v>153</v>
      </c>
      <c r="AQ9">
        <v>121</v>
      </c>
      <c r="AR9" t="s">
        <v>72</v>
      </c>
      <c r="AS9" t="s">
        <v>69</v>
      </c>
      <c r="AT9" t="s">
        <v>71</v>
      </c>
      <c r="AU9" t="s">
        <v>69</v>
      </c>
      <c r="AV9">
        <v>131.17500000000001</v>
      </c>
      <c r="AW9" t="s">
        <v>69</v>
      </c>
      <c r="AX9" t="s">
        <v>69</v>
      </c>
      <c r="AY9">
        <v>129</v>
      </c>
      <c r="AZ9" t="s">
        <v>76</v>
      </c>
      <c r="BA9" t="s">
        <v>69</v>
      </c>
      <c r="BB9" t="s">
        <v>75</v>
      </c>
      <c r="BC9" t="s">
        <v>69</v>
      </c>
      <c r="BD9">
        <v>146.18899999999999</v>
      </c>
      <c r="BE9" t="s">
        <v>69</v>
      </c>
      <c r="BF9" t="s">
        <v>69</v>
      </c>
      <c r="BG9">
        <v>131</v>
      </c>
      <c r="BH9" t="s">
        <v>116</v>
      </c>
      <c r="BI9" t="s">
        <v>153</v>
      </c>
      <c r="BJ9" t="s">
        <v>117</v>
      </c>
      <c r="BK9" t="s">
        <v>153</v>
      </c>
      <c r="BL9">
        <v>149.208</v>
      </c>
      <c r="BM9" t="s">
        <v>69</v>
      </c>
      <c r="BN9" t="s">
        <v>69</v>
      </c>
      <c r="BO9">
        <v>132</v>
      </c>
      <c r="BP9" t="s">
        <v>119</v>
      </c>
      <c r="BQ9" t="s">
        <v>69</v>
      </c>
      <c r="BR9" t="s">
        <v>120</v>
      </c>
      <c r="BS9" t="s">
        <v>69</v>
      </c>
      <c r="BT9">
        <v>147.131</v>
      </c>
      <c r="BU9" t="s">
        <v>69</v>
      </c>
      <c r="BV9" t="s">
        <v>69</v>
      </c>
      <c r="BW9">
        <v>151</v>
      </c>
      <c r="BX9" t="s">
        <v>153</v>
      </c>
      <c r="BY9" t="s">
        <v>69</v>
      </c>
      <c r="BZ9" t="s">
        <v>148</v>
      </c>
      <c r="CA9" t="s">
        <v>69</v>
      </c>
      <c r="CB9">
        <v>132.119</v>
      </c>
      <c r="CC9" t="s">
        <v>69</v>
      </c>
      <c r="CD9" t="s">
        <v>69</v>
      </c>
      <c r="CE9">
        <v>152</v>
      </c>
      <c r="CF9" t="s">
        <v>72</v>
      </c>
      <c r="CG9" t="s">
        <v>69</v>
      </c>
      <c r="CH9" t="s">
        <v>71</v>
      </c>
      <c r="CI9" t="s">
        <v>69</v>
      </c>
      <c r="CJ9">
        <v>131.17500000000001</v>
      </c>
      <c r="CK9" t="s">
        <v>69</v>
      </c>
      <c r="CL9" t="s">
        <v>69</v>
      </c>
      <c r="CM9">
        <v>154</v>
      </c>
      <c r="CN9" t="s">
        <v>72</v>
      </c>
      <c r="CO9" t="s">
        <v>69</v>
      </c>
      <c r="CP9" t="s">
        <v>71</v>
      </c>
      <c r="CQ9" t="s">
        <v>69</v>
      </c>
      <c r="CR9">
        <v>131.17500000000001</v>
      </c>
      <c r="CS9" t="s">
        <v>69</v>
      </c>
      <c r="CT9" t="s">
        <v>69</v>
      </c>
    </row>
    <row r="10" spans="1:98" x14ac:dyDescent="0.25">
      <c r="A10">
        <v>7</v>
      </c>
      <c r="B10" t="str">
        <f>HYPERLINK("http://www.ncbi.nlm.nih.gov/protein/XP_025768221.1","XP_025768221.1")</f>
        <v>XP_025768221.1</v>
      </c>
      <c r="C10">
        <v>23623</v>
      </c>
      <c r="D10" t="str">
        <f>HYPERLINK("http://www.ncbi.nlm.nih.gov/Taxonomy/Browser/wwwtax.cgi?mode=Info&amp;id=9696&amp;lvl=3&amp;lin=f&amp;keep=1&amp;srchmode=1&amp;unlock","9696")</f>
        <v>9696</v>
      </c>
      <c r="E10" t="s">
        <v>66</v>
      </c>
      <c r="F10" t="str">
        <f>HYPERLINK("http://www.ncbi.nlm.nih.gov/Taxonomy/Browser/wwwtax.cgi?mode=Info&amp;id=9696&amp;lvl=3&amp;lin=f&amp;keep=1&amp;srchmode=1&amp;unlock","Puma concolor")</f>
        <v>Puma concolor</v>
      </c>
      <c r="G10" t="s">
        <v>91</v>
      </c>
      <c r="H10" t="str">
        <f>HYPERLINK("http://www.ncbi.nlm.nih.gov/protein/XP_025768221.1","ubiquitin-like protein ISG15")</f>
        <v>ubiquitin-like protein ISG15</v>
      </c>
      <c r="I10" t="s">
        <v>261</v>
      </c>
      <c r="J10" t="s">
        <v>153</v>
      </c>
      <c r="K10">
        <v>20</v>
      </c>
      <c r="L10" t="s">
        <v>74</v>
      </c>
      <c r="M10" t="s">
        <v>153</v>
      </c>
      <c r="N10" t="s">
        <v>75</v>
      </c>
      <c r="O10" t="s">
        <v>153</v>
      </c>
      <c r="P10">
        <v>174.203</v>
      </c>
      <c r="Q10" t="s">
        <v>153</v>
      </c>
      <c r="R10" t="s">
        <v>153</v>
      </c>
      <c r="S10">
        <v>23</v>
      </c>
      <c r="T10" t="s">
        <v>116</v>
      </c>
      <c r="U10" t="s">
        <v>69</v>
      </c>
      <c r="V10" t="s">
        <v>117</v>
      </c>
      <c r="W10" t="s">
        <v>69</v>
      </c>
      <c r="X10">
        <v>149.208</v>
      </c>
      <c r="Y10" t="s">
        <v>69</v>
      </c>
      <c r="Z10" t="s">
        <v>69</v>
      </c>
      <c r="AA10">
        <v>27</v>
      </c>
      <c r="AB10" t="s">
        <v>119</v>
      </c>
      <c r="AC10" t="s">
        <v>69</v>
      </c>
      <c r="AD10" t="s">
        <v>120</v>
      </c>
      <c r="AE10" t="s">
        <v>69</v>
      </c>
      <c r="AF10">
        <v>147.131</v>
      </c>
      <c r="AG10" t="s">
        <v>69</v>
      </c>
      <c r="AH10" t="s">
        <v>69</v>
      </c>
      <c r="AI10">
        <v>30</v>
      </c>
      <c r="AJ10" t="s">
        <v>147</v>
      </c>
      <c r="AK10" t="s">
        <v>153</v>
      </c>
      <c r="AL10" t="s">
        <v>148</v>
      </c>
      <c r="AM10" t="s">
        <v>153</v>
      </c>
      <c r="AN10">
        <v>146.14599999999999</v>
      </c>
      <c r="AO10" t="s">
        <v>153</v>
      </c>
      <c r="AP10" t="s">
        <v>153</v>
      </c>
      <c r="AQ10">
        <v>121</v>
      </c>
      <c r="AR10" t="s">
        <v>72</v>
      </c>
      <c r="AS10" t="s">
        <v>69</v>
      </c>
      <c r="AT10" t="s">
        <v>71</v>
      </c>
      <c r="AU10" t="s">
        <v>69</v>
      </c>
      <c r="AV10">
        <v>131.17500000000001</v>
      </c>
      <c r="AW10" t="s">
        <v>69</v>
      </c>
      <c r="AX10" t="s">
        <v>69</v>
      </c>
      <c r="AY10">
        <v>129</v>
      </c>
      <c r="AZ10" t="s">
        <v>76</v>
      </c>
      <c r="BA10" t="s">
        <v>69</v>
      </c>
      <c r="BB10" t="s">
        <v>75</v>
      </c>
      <c r="BC10" t="s">
        <v>69</v>
      </c>
      <c r="BD10">
        <v>146.18899999999999</v>
      </c>
      <c r="BE10" t="s">
        <v>69</v>
      </c>
      <c r="BF10" t="s">
        <v>69</v>
      </c>
      <c r="BG10">
        <v>131</v>
      </c>
      <c r="BH10" t="s">
        <v>116</v>
      </c>
      <c r="BI10" t="s">
        <v>153</v>
      </c>
      <c r="BJ10" t="s">
        <v>117</v>
      </c>
      <c r="BK10" t="s">
        <v>153</v>
      </c>
      <c r="BL10">
        <v>149.208</v>
      </c>
      <c r="BM10" t="s">
        <v>69</v>
      </c>
      <c r="BN10" t="s">
        <v>69</v>
      </c>
      <c r="BO10">
        <v>132</v>
      </c>
      <c r="BP10" t="s">
        <v>119</v>
      </c>
      <c r="BQ10" t="s">
        <v>69</v>
      </c>
      <c r="BR10" t="s">
        <v>120</v>
      </c>
      <c r="BS10" t="s">
        <v>69</v>
      </c>
      <c r="BT10">
        <v>147.131</v>
      </c>
      <c r="BU10" t="s">
        <v>69</v>
      </c>
      <c r="BV10" t="s">
        <v>69</v>
      </c>
      <c r="BW10">
        <v>151</v>
      </c>
      <c r="BX10" t="s">
        <v>153</v>
      </c>
      <c r="BY10" t="s">
        <v>69</v>
      </c>
      <c r="BZ10" t="s">
        <v>148</v>
      </c>
      <c r="CA10" t="s">
        <v>69</v>
      </c>
      <c r="CB10">
        <v>132.119</v>
      </c>
      <c r="CC10" t="s">
        <v>69</v>
      </c>
      <c r="CD10" t="s">
        <v>69</v>
      </c>
      <c r="CE10">
        <v>152</v>
      </c>
      <c r="CF10" t="s">
        <v>72</v>
      </c>
      <c r="CG10" t="s">
        <v>69</v>
      </c>
      <c r="CH10" t="s">
        <v>71</v>
      </c>
      <c r="CI10" t="s">
        <v>69</v>
      </c>
      <c r="CJ10">
        <v>131.17500000000001</v>
      </c>
      <c r="CK10" t="s">
        <v>69</v>
      </c>
      <c r="CL10" t="s">
        <v>69</v>
      </c>
      <c r="CM10">
        <v>154</v>
      </c>
      <c r="CN10" t="s">
        <v>72</v>
      </c>
      <c r="CO10" t="s">
        <v>69</v>
      </c>
      <c r="CP10" t="s">
        <v>71</v>
      </c>
      <c r="CQ10" t="s">
        <v>69</v>
      </c>
      <c r="CR10">
        <v>131.17500000000001</v>
      </c>
      <c r="CS10" t="s">
        <v>69</v>
      </c>
      <c r="CT10" t="s">
        <v>69</v>
      </c>
    </row>
    <row r="11" spans="1:98" x14ac:dyDescent="0.25">
      <c r="A11">
        <v>7</v>
      </c>
      <c r="B11" t="str">
        <f>HYPERLINK("http://www.ncbi.nlm.nih.gov/protein/XP_042807118.1","XP_042807118.1")</f>
        <v>XP_042807118.1</v>
      </c>
      <c r="C11">
        <v>53677</v>
      </c>
      <c r="D11" t="str">
        <f>HYPERLINK("http://www.ncbi.nlm.nih.gov/Taxonomy/Browser/wwwtax.cgi?mode=Info&amp;id=9689&amp;lvl=3&amp;lin=f&amp;keep=1&amp;srchmode=1&amp;unlock","9689")</f>
        <v>9689</v>
      </c>
      <c r="E11" t="s">
        <v>66</v>
      </c>
      <c r="F11" t="str">
        <f>HYPERLINK("http://www.ncbi.nlm.nih.gov/Taxonomy/Browser/wwwtax.cgi?mode=Info&amp;id=9689&amp;lvl=3&amp;lin=f&amp;keep=1&amp;srchmode=1&amp;unlock","Panthera leo")</f>
        <v>Panthera leo</v>
      </c>
      <c r="G11" t="s">
        <v>90</v>
      </c>
      <c r="H11" t="str">
        <f>HYPERLINK("http://www.ncbi.nlm.nih.gov/protein/XP_042807118.1","ubiquitin-like protein ISG15")</f>
        <v>ubiquitin-like protein ISG15</v>
      </c>
      <c r="I11" t="s">
        <v>261</v>
      </c>
      <c r="J11" t="s">
        <v>153</v>
      </c>
      <c r="K11">
        <v>20</v>
      </c>
      <c r="L11" t="s">
        <v>74</v>
      </c>
      <c r="M11" t="s">
        <v>153</v>
      </c>
      <c r="N11" t="s">
        <v>75</v>
      </c>
      <c r="O11" t="s">
        <v>153</v>
      </c>
      <c r="P11">
        <v>174.203</v>
      </c>
      <c r="Q11" t="s">
        <v>153</v>
      </c>
      <c r="R11" t="s">
        <v>153</v>
      </c>
      <c r="S11">
        <v>23</v>
      </c>
      <c r="T11" t="s">
        <v>116</v>
      </c>
      <c r="U11" t="s">
        <v>69</v>
      </c>
      <c r="V11" t="s">
        <v>117</v>
      </c>
      <c r="W11" t="s">
        <v>69</v>
      </c>
      <c r="X11">
        <v>149.208</v>
      </c>
      <c r="Y11" t="s">
        <v>69</v>
      </c>
      <c r="Z11" t="s">
        <v>69</v>
      </c>
      <c r="AA11">
        <v>27</v>
      </c>
      <c r="AB11" t="s">
        <v>119</v>
      </c>
      <c r="AC11" t="s">
        <v>69</v>
      </c>
      <c r="AD11" t="s">
        <v>120</v>
      </c>
      <c r="AE11" t="s">
        <v>69</v>
      </c>
      <c r="AF11">
        <v>147.131</v>
      </c>
      <c r="AG11" t="s">
        <v>69</v>
      </c>
      <c r="AH11" t="s">
        <v>69</v>
      </c>
      <c r="AI11">
        <v>30</v>
      </c>
      <c r="AJ11" t="s">
        <v>147</v>
      </c>
      <c r="AK11" t="s">
        <v>153</v>
      </c>
      <c r="AL11" t="s">
        <v>148</v>
      </c>
      <c r="AM11" t="s">
        <v>153</v>
      </c>
      <c r="AN11">
        <v>146.14599999999999</v>
      </c>
      <c r="AO11" t="s">
        <v>153</v>
      </c>
      <c r="AP11" t="s">
        <v>153</v>
      </c>
      <c r="AQ11">
        <v>121</v>
      </c>
      <c r="AR11" t="s">
        <v>72</v>
      </c>
      <c r="AS11" t="s">
        <v>69</v>
      </c>
      <c r="AT11" t="s">
        <v>71</v>
      </c>
      <c r="AU11" t="s">
        <v>69</v>
      </c>
      <c r="AV11">
        <v>131.17500000000001</v>
      </c>
      <c r="AW11" t="s">
        <v>69</v>
      </c>
      <c r="AX11" t="s">
        <v>69</v>
      </c>
      <c r="AY11">
        <v>129</v>
      </c>
      <c r="AZ11" t="s">
        <v>76</v>
      </c>
      <c r="BA11" t="s">
        <v>69</v>
      </c>
      <c r="BB11" t="s">
        <v>75</v>
      </c>
      <c r="BC11" t="s">
        <v>69</v>
      </c>
      <c r="BD11">
        <v>146.18899999999999</v>
      </c>
      <c r="BE11" t="s">
        <v>69</v>
      </c>
      <c r="BF11" t="s">
        <v>69</v>
      </c>
      <c r="BG11">
        <v>131</v>
      </c>
      <c r="BH11" t="s">
        <v>116</v>
      </c>
      <c r="BI11" t="s">
        <v>153</v>
      </c>
      <c r="BJ11" t="s">
        <v>117</v>
      </c>
      <c r="BK11" t="s">
        <v>153</v>
      </c>
      <c r="BL11">
        <v>149.208</v>
      </c>
      <c r="BM11" t="s">
        <v>69</v>
      </c>
      <c r="BN11" t="s">
        <v>69</v>
      </c>
      <c r="BO11">
        <v>132</v>
      </c>
      <c r="BP11" t="s">
        <v>119</v>
      </c>
      <c r="BQ11" t="s">
        <v>69</v>
      </c>
      <c r="BR11" t="s">
        <v>120</v>
      </c>
      <c r="BS11" t="s">
        <v>69</v>
      </c>
      <c r="BT11">
        <v>147.131</v>
      </c>
      <c r="BU11" t="s">
        <v>69</v>
      </c>
      <c r="BV11" t="s">
        <v>69</v>
      </c>
      <c r="BW11">
        <v>151</v>
      </c>
      <c r="BX11" t="s">
        <v>153</v>
      </c>
      <c r="BY11" t="s">
        <v>69</v>
      </c>
      <c r="BZ11" t="s">
        <v>148</v>
      </c>
      <c r="CA11" t="s">
        <v>69</v>
      </c>
      <c r="CB11">
        <v>132.119</v>
      </c>
      <c r="CC11" t="s">
        <v>69</v>
      </c>
      <c r="CD11" t="s">
        <v>69</v>
      </c>
      <c r="CE11">
        <v>152</v>
      </c>
      <c r="CF11" t="s">
        <v>72</v>
      </c>
      <c r="CG11" t="s">
        <v>69</v>
      </c>
      <c r="CH11" t="s">
        <v>71</v>
      </c>
      <c r="CI11" t="s">
        <v>69</v>
      </c>
      <c r="CJ11">
        <v>131.17500000000001</v>
      </c>
      <c r="CK11" t="s">
        <v>69</v>
      </c>
      <c r="CL11" t="s">
        <v>69</v>
      </c>
      <c r="CM11">
        <v>154</v>
      </c>
      <c r="CN11" t="s">
        <v>72</v>
      </c>
      <c r="CO11" t="s">
        <v>69</v>
      </c>
      <c r="CP11" t="s">
        <v>71</v>
      </c>
      <c r="CQ11" t="s">
        <v>69</v>
      </c>
      <c r="CR11">
        <v>131.17500000000001</v>
      </c>
      <c r="CS11" t="s">
        <v>69</v>
      </c>
      <c r="CT11" t="s">
        <v>69</v>
      </c>
    </row>
    <row r="12" spans="1:98" x14ac:dyDescent="0.25">
      <c r="A12">
        <v>7</v>
      </c>
      <c r="B12" t="str">
        <f>HYPERLINK("http://www.ncbi.nlm.nih.gov/protein/BAG50252.1","BAG50252.1")</f>
        <v>BAG50252.1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HYPERLINK("http://www.ncbi.nlm.nih.gov/protein/BAG50252.1","ISG15 ubiquitin-like modifier")</f>
        <v>ISG15 ubiquitin-like modifier</v>
      </c>
      <c r="I12" t="s">
        <v>261</v>
      </c>
      <c r="J12" t="s">
        <v>153</v>
      </c>
      <c r="K12">
        <v>20</v>
      </c>
      <c r="L12" t="s">
        <v>74</v>
      </c>
      <c r="M12" t="s">
        <v>153</v>
      </c>
      <c r="N12" t="s">
        <v>75</v>
      </c>
      <c r="O12" t="s">
        <v>153</v>
      </c>
      <c r="P12">
        <v>174.203</v>
      </c>
      <c r="Q12" t="s">
        <v>153</v>
      </c>
      <c r="R12" t="s">
        <v>153</v>
      </c>
      <c r="S12">
        <v>23</v>
      </c>
      <c r="T12" t="s">
        <v>116</v>
      </c>
      <c r="U12" t="s">
        <v>69</v>
      </c>
      <c r="V12" t="s">
        <v>117</v>
      </c>
      <c r="W12" t="s">
        <v>69</v>
      </c>
      <c r="X12">
        <v>149.208</v>
      </c>
      <c r="Y12" t="s">
        <v>69</v>
      </c>
      <c r="Z12" t="s">
        <v>69</v>
      </c>
      <c r="AA12">
        <v>27</v>
      </c>
      <c r="AB12" t="s">
        <v>119</v>
      </c>
      <c r="AC12" t="s">
        <v>69</v>
      </c>
      <c r="AD12" t="s">
        <v>120</v>
      </c>
      <c r="AE12" t="s">
        <v>69</v>
      </c>
      <c r="AF12">
        <v>147.131</v>
      </c>
      <c r="AG12" t="s">
        <v>69</v>
      </c>
      <c r="AH12" t="s">
        <v>69</v>
      </c>
      <c r="AI12">
        <v>30</v>
      </c>
      <c r="AJ12" t="s">
        <v>147</v>
      </c>
      <c r="AK12" t="s">
        <v>153</v>
      </c>
      <c r="AL12" t="s">
        <v>148</v>
      </c>
      <c r="AM12" t="s">
        <v>153</v>
      </c>
      <c r="AN12">
        <v>146.14599999999999</v>
      </c>
      <c r="AO12" t="s">
        <v>153</v>
      </c>
      <c r="AP12" t="s">
        <v>153</v>
      </c>
      <c r="AQ12">
        <v>121</v>
      </c>
      <c r="AR12" t="s">
        <v>72</v>
      </c>
      <c r="AS12" t="s">
        <v>69</v>
      </c>
      <c r="AT12" t="s">
        <v>71</v>
      </c>
      <c r="AU12" t="s">
        <v>69</v>
      </c>
      <c r="AV12">
        <v>131.17500000000001</v>
      </c>
      <c r="AW12" t="s">
        <v>69</v>
      </c>
      <c r="AX12" t="s">
        <v>69</v>
      </c>
      <c r="AY12">
        <v>129</v>
      </c>
      <c r="AZ12" t="s">
        <v>76</v>
      </c>
      <c r="BA12" t="s">
        <v>69</v>
      </c>
      <c r="BB12" t="s">
        <v>75</v>
      </c>
      <c r="BC12" t="s">
        <v>69</v>
      </c>
      <c r="BD12">
        <v>146.18899999999999</v>
      </c>
      <c r="BE12" t="s">
        <v>69</v>
      </c>
      <c r="BF12" t="s">
        <v>69</v>
      </c>
      <c r="BG12">
        <v>131</v>
      </c>
      <c r="BH12" t="s">
        <v>116</v>
      </c>
      <c r="BI12" t="s">
        <v>153</v>
      </c>
      <c r="BJ12" t="s">
        <v>117</v>
      </c>
      <c r="BK12" t="s">
        <v>153</v>
      </c>
      <c r="BL12">
        <v>149.208</v>
      </c>
      <c r="BM12" t="s">
        <v>69</v>
      </c>
      <c r="BN12" t="s">
        <v>69</v>
      </c>
      <c r="BO12">
        <v>132</v>
      </c>
      <c r="BP12" t="s">
        <v>119</v>
      </c>
      <c r="BQ12" t="s">
        <v>69</v>
      </c>
      <c r="BR12" t="s">
        <v>120</v>
      </c>
      <c r="BS12" t="s">
        <v>69</v>
      </c>
      <c r="BT12">
        <v>147.131</v>
      </c>
      <c r="BU12" t="s">
        <v>69</v>
      </c>
      <c r="BV12" t="s">
        <v>69</v>
      </c>
      <c r="BW12">
        <v>151</v>
      </c>
      <c r="BX12" t="s">
        <v>153</v>
      </c>
      <c r="BY12" t="s">
        <v>69</v>
      </c>
      <c r="BZ12" t="s">
        <v>148</v>
      </c>
      <c r="CA12" t="s">
        <v>69</v>
      </c>
      <c r="CB12">
        <v>132.119</v>
      </c>
      <c r="CC12" t="s">
        <v>69</v>
      </c>
      <c r="CD12" t="s">
        <v>69</v>
      </c>
      <c r="CE12">
        <v>152</v>
      </c>
      <c r="CF12" t="s">
        <v>72</v>
      </c>
      <c r="CG12" t="s">
        <v>69</v>
      </c>
      <c r="CH12" t="s">
        <v>71</v>
      </c>
      <c r="CI12" t="s">
        <v>69</v>
      </c>
      <c r="CJ12">
        <v>131.17500000000001</v>
      </c>
      <c r="CK12" t="s">
        <v>69</v>
      </c>
      <c r="CL12" t="s">
        <v>69</v>
      </c>
      <c r="CM12">
        <v>154</v>
      </c>
      <c r="CN12" t="s">
        <v>72</v>
      </c>
      <c r="CO12" t="s">
        <v>69</v>
      </c>
      <c r="CP12" t="s">
        <v>71</v>
      </c>
      <c r="CQ12" t="s">
        <v>69</v>
      </c>
      <c r="CR12">
        <v>131.17500000000001</v>
      </c>
      <c r="CS12" t="s">
        <v>69</v>
      </c>
      <c r="CT12" t="s">
        <v>69</v>
      </c>
    </row>
    <row r="13" spans="1:98" x14ac:dyDescent="0.25">
      <c r="A13">
        <v>7</v>
      </c>
      <c r="B13" t="str">
        <f>HYPERLINK("http://www.ncbi.nlm.nih.gov/protein/XP_044092193.1","XP_044092193.1")</f>
        <v>XP_044092193.1</v>
      </c>
      <c r="C13">
        <v>44640</v>
      </c>
      <c r="D13" t="str">
        <f>HYPERLINK("http://www.ncbi.nlm.nih.gov/Taxonomy/Browser/wwwtax.cgi?mode=Info&amp;id=452646&amp;lvl=3&amp;lin=f&amp;keep=1&amp;srchmode=1&amp;unlock","452646")</f>
        <v>452646</v>
      </c>
      <c r="E13" t="s">
        <v>66</v>
      </c>
      <c r="F13" t="str">
        <f>HYPERLINK("http://www.ncbi.nlm.nih.gov/Taxonomy/Browser/wwwtax.cgi?mode=Info&amp;id=452646&amp;lvl=3&amp;lin=f&amp;keep=1&amp;srchmode=1&amp;unlock","Neogale vison")</f>
        <v>Neogale vison</v>
      </c>
      <c r="G13" t="s">
        <v>96</v>
      </c>
      <c r="H13" t="str">
        <f>HYPERLINK("http://www.ncbi.nlm.nih.gov/protein/XP_044092193.1","ubiquitin-like protein ISG15")</f>
        <v>ubiquitin-like protein ISG15</v>
      </c>
      <c r="I13" t="s">
        <v>261</v>
      </c>
      <c r="J13" t="s">
        <v>153</v>
      </c>
      <c r="K13">
        <v>20</v>
      </c>
      <c r="L13" t="s">
        <v>74</v>
      </c>
      <c r="M13" t="s">
        <v>153</v>
      </c>
      <c r="N13" t="s">
        <v>75</v>
      </c>
      <c r="O13" t="s">
        <v>153</v>
      </c>
      <c r="P13">
        <v>174.203</v>
      </c>
      <c r="Q13" t="s">
        <v>153</v>
      </c>
      <c r="R13" t="s">
        <v>153</v>
      </c>
      <c r="S13">
        <v>23</v>
      </c>
      <c r="T13" t="s">
        <v>116</v>
      </c>
      <c r="U13" t="s">
        <v>69</v>
      </c>
      <c r="V13" t="s">
        <v>117</v>
      </c>
      <c r="W13" t="s">
        <v>69</v>
      </c>
      <c r="X13">
        <v>149.208</v>
      </c>
      <c r="Y13" t="s">
        <v>69</v>
      </c>
      <c r="Z13" t="s">
        <v>69</v>
      </c>
      <c r="AA13">
        <v>27</v>
      </c>
      <c r="AB13" t="s">
        <v>119</v>
      </c>
      <c r="AC13" t="s">
        <v>69</v>
      </c>
      <c r="AD13" t="s">
        <v>120</v>
      </c>
      <c r="AE13" t="s">
        <v>69</v>
      </c>
      <c r="AF13">
        <v>147.131</v>
      </c>
      <c r="AG13" t="s">
        <v>69</v>
      </c>
      <c r="AH13" t="s">
        <v>69</v>
      </c>
      <c r="AI13">
        <v>30</v>
      </c>
      <c r="AJ13" t="s">
        <v>147</v>
      </c>
      <c r="AK13" t="s">
        <v>153</v>
      </c>
      <c r="AL13" t="s">
        <v>148</v>
      </c>
      <c r="AM13" t="s">
        <v>153</v>
      </c>
      <c r="AN13">
        <v>146.14599999999999</v>
      </c>
      <c r="AO13" t="s">
        <v>153</v>
      </c>
      <c r="AP13" t="s">
        <v>153</v>
      </c>
      <c r="AQ13">
        <v>121</v>
      </c>
      <c r="AR13" t="s">
        <v>72</v>
      </c>
      <c r="AS13" t="s">
        <v>69</v>
      </c>
      <c r="AT13" t="s">
        <v>71</v>
      </c>
      <c r="AU13" t="s">
        <v>69</v>
      </c>
      <c r="AV13">
        <v>131.17500000000001</v>
      </c>
      <c r="AW13" t="s">
        <v>69</v>
      </c>
      <c r="AX13" t="s">
        <v>69</v>
      </c>
      <c r="AY13">
        <v>129</v>
      </c>
      <c r="AZ13" t="s">
        <v>76</v>
      </c>
      <c r="BA13" t="s">
        <v>69</v>
      </c>
      <c r="BB13" t="s">
        <v>75</v>
      </c>
      <c r="BC13" t="s">
        <v>69</v>
      </c>
      <c r="BD13">
        <v>146.18899999999999</v>
      </c>
      <c r="BE13" t="s">
        <v>69</v>
      </c>
      <c r="BF13" t="s">
        <v>69</v>
      </c>
      <c r="BG13">
        <v>131</v>
      </c>
      <c r="BH13" t="s">
        <v>116</v>
      </c>
      <c r="BI13" t="s">
        <v>153</v>
      </c>
      <c r="BJ13" t="s">
        <v>117</v>
      </c>
      <c r="BK13" t="s">
        <v>153</v>
      </c>
      <c r="BL13">
        <v>149.208</v>
      </c>
      <c r="BM13" t="s">
        <v>69</v>
      </c>
      <c r="BN13" t="s">
        <v>69</v>
      </c>
      <c r="BO13">
        <v>132</v>
      </c>
      <c r="BP13" t="s">
        <v>119</v>
      </c>
      <c r="BQ13" t="s">
        <v>69</v>
      </c>
      <c r="BR13" t="s">
        <v>120</v>
      </c>
      <c r="BS13" t="s">
        <v>69</v>
      </c>
      <c r="BT13">
        <v>147.131</v>
      </c>
      <c r="BU13" t="s">
        <v>69</v>
      </c>
      <c r="BV13" t="s">
        <v>69</v>
      </c>
      <c r="BW13">
        <v>151</v>
      </c>
      <c r="BX13" t="s">
        <v>153</v>
      </c>
      <c r="BY13" t="s">
        <v>69</v>
      </c>
      <c r="BZ13" t="s">
        <v>148</v>
      </c>
      <c r="CA13" t="s">
        <v>69</v>
      </c>
      <c r="CB13">
        <v>132.119</v>
      </c>
      <c r="CC13" t="s">
        <v>69</v>
      </c>
      <c r="CD13" t="s">
        <v>69</v>
      </c>
      <c r="CE13">
        <v>152</v>
      </c>
      <c r="CF13" t="s">
        <v>72</v>
      </c>
      <c r="CG13" t="s">
        <v>69</v>
      </c>
      <c r="CH13" t="s">
        <v>71</v>
      </c>
      <c r="CI13" t="s">
        <v>69</v>
      </c>
      <c r="CJ13">
        <v>131.17500000000001</v>
      </c>
      <c r="CK13" t="s">
        <v>69</v>
      </c>
      <c r="CL13" t="s">
        <v>69</v>
      </c>
      <c r="CM13">
        <v>154</v>
      </c>
      <c r="CN13" t="s">
        <v>72</v>
      </c>
      <c r="CO13" t="s">
        <v>69</v>
      </c>
      <c r="CP13" t="s">
        <v>71</v>
      </c>
      <c r="CQ13" t="s">
        <v>69</v>
      </c>
      <c r="CR13">
        <v>131.17500000000001</v>
      </c>
      <c r="CS13" t="s">
        <v>69</v>
      </c>
      <c r="CT13" t="s">
        <v>69</v>
      </c>
    </row>
    <row r="14" spans="1:98" x14ac:dyDescent="0.25">
      <c r="A14">
        <v>7</v>
      </c>
      <c r="B14" t="str">
        <f>HYPERLINK("http://www.ncbi.nlm.nih.gov/protein/XP_030181285.1","XP_030181285.1")</f>
        <v>XP_030181285.1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HYPERLINK("http://www.ncbi.nlm.nih.gov/protein/XP_030181285.1","ubiquitin-like protein ISG15")</f>
        <v>ubiquitin-like protein ISG15</v>
      </c>
      <c r="I14" t="s">
        <v>261</v>
      </c>
      <c r="J14" t="s">
        <v>153</v>
      </c>
      <c r="K14">
        <v>20</v>
      </c>
      <c r="L14" t="s">
        <v>74</v>
      </c>
      <c r="M14" t="s">
        <v>153</v>
      </c>
      <c r="N14" t="s">
        <v>75</v>
      </c>
      <c r="O14" t="s">
        <v>153</v>
      </c>
      <c r="P14">
        <v>174.203</v>
      </c>
      <c r="Q14" t="s">
        <v>153</v>
      </c>
      <c r="R14" t="s">
        <v>153</v>
      </c>
      <c r="S14">
        <v>23</v>
      </c>
      <c r="T14" t="s">
        <v>116</v>
      </c>
      <c r="U14" t="s">
        <v>69</v>
      </c>
      <c r="V14" t="s">
        <v>117</v>
      </c>
      <c r="W14" t="s">
        <v>69</v>
      </c>
      <c r="X14">
        <v>149.208</v>
      </c>
      <c r="Y14" t="s">
        <v>69</v>
      </c>
      <c r="Z14" t="s">
        <v>69</v>
      </c>
      <c r="AA14">
        <v>27</v>
      </c>
      <c r="AB14" t="s">
        <v>119</v>
      </c>
      <c r="AC14" t="s">
        <v>69</v>
      </c>
      <c r="AD14" t="s">
        <v>120</v>
      </c>
      <c r="AE14" t="s">
        <v>69</v>
      </c>
      <c r="AF14">
        <v>147.131</v>
      </c>
      <c r="AG14" t="s">
        <v>69</v>
      </c>
      <c r="AH14" t="s">
        <v>69</v>
      </c>
      <c r="AI14">
        <v>30</v>
      </c>
      <c r="AJ14" t="s">
        <v>147</v>
      </c>
      <c r="AK14" t="s">
        <v>153</v>
      </c>
      <c r="AL14" t="s">
        <v>148</v>
      </c>
      <c r="AM14" t="s">
        <v>153</v>
      </c>
      <c r="AN14">
        <v>146.14599999999999</v>
      </c>
      <c r="AO14" t="s">
        <v>153</v>
      </c>
      <c r="AP14" t="s">
        <v>153</v>
      </c>
      <c r="AQ14">
        <v>121</v>
      </c>
      <c r="AR14" t="s">
        <v>72</v>
      </c>
      <c r="AS14" t="s">
        <v>69</v>
      </c>
      <c r="AT14" t="s">
        <v>71</v>
      </c>
      <c r="AU14" t="s">
        <v>69</v>
      </c>
      <c r="AV14">
        <v>131.17500000000001</v>
      </c>
      <c r="AW14" t="s">
        <v>69</v>
      </c>
      <c r="AX14" t="s">
        <v>69</v>
      </c>
      <c r="AY14">
        <v>129</v>
      </c>
      <c r="AZ14" t="s">
        <v>76</v>
      </c>
      <c r="BA14" t="s">
        <v>69</v>
      </c>
      <c r="BB14" t="s">
        <v>75</v>
      </c>
      <c r="BC14" t="s">
        <v>69</v>
      </c>
      <c r="BD14">
        <v>146.18899999999999</v>
      </c>
      <c r="BE14" t="s">
        <v>69</v>
      </c>
      <c r="BF14" t="s">
        <v>69</v>
      </c>
      <c r="BG14">
        <v>131</v>
      </c>
      <c r="BH14" t="s">
        <v>116</v>
      </c>
      <c r="BI14" t="s">
        <v>153</v>
      </c>
      <c r="BJ14" t="s">
        <v>117</v>
      </c>
      <c r="BK14" t="s">
        <v>153</v>
      </c>
      <c r="BL14">
        <v>149.208</v>
      </c>
      <c r="BM14" t="s">
        <v>69</v>
      </c>
      <c r="BN14" t="s">
        <v>69</v>
      </c>
      <c r="BO14">
        <v>132</v>
      </c>
      <c r="BP14" t="s">
        <v>119</v>
      </c>
      <c r="BQ14" t="s">
        <v>69</v>
      </c>
      <c r="BR14" t="s">
        <v>120</v>
      </c>
      <c r="BS14" t="s">
        <v>69</v>
      </c>
      <c r="BT14">
        <v>147.131</v>
      </c>
      <c r="BU14" t="s">
        <v>69</v>
      </c>
      <c r="BV14" t="s">
        <v>69</v>
      </c>
      <c r="BW14">
        <v>151</v>
      </c>
      <c r="BX14" t="s">
        <v>153</v>
      </c>
      <c r="BY14" t="s">
        <v>69</v>
      </c>
      <c r="BZ14" t="s">
        <v>148</v>
      </c>
      <c r="CA14" t="s">
        <v>69</v>
      </c>
      <c r="CB14">
        <v>132.119</v>
      </c>
      <c r="CC14" t="s">
        <v>69</v>
      </c>
      <c r="CD14" t="s">
        <v>69</v>
      </c>
      <c r="CE14">
        <v>152</v>
      </c>
      <c r="CF14" t="s">
        <v>72</v>
      </c>
      <c r="CG14" t="s">
        <v>69</v>
      </c>
      <c r="CH14" t="s">
        <v>71</v>
      </c>
      <c r="CI14" t="s">
        <v>69</v>
      </c>
      <c r="CJ14">
        <v>131.17500000000001</v>
      </c>
      <c r="CK14" t="s">
        <v>69</v>
      </c>
      <c r="CL14" t="s">
        <v>69</v>
      </c>
      <c r="CM14">
        <v>154</v>
      </c>
      <c r="CN14" t="s">
        <v>72</v>
      </c>
      <c r="CO14" t="s">
        <v>69</v>
      </c>
      <c r="CP14" t="s">
        <v>71</v>
      </c>
      <c r="CQ14" t="s">
        <v>69</v>
      </c>
      <c r="CR14">
        <v>131.17500000000001</v>
      </c>
      <c r="CS14" t="s">
        <v>69</v>
      </c>
      <c r="CT14" t="s">
        <v>69</v>
      </c>
    </row>
    <row r="15" spans="1:98" x14ac:dyDescent="0.25">
      <c r="A15">
        <v>7</v>
      </c>
      <c r="B15" t="str">
        <f>HYPERLINK("http://www.ncbi.nlm.nih.gov/protein/XP_047726302.1","XP_047726302.1")</f>
        <v>XP_047726302.1</v>
      </c>
      <c r="C15">
        <v>56399</v>
      </c>
      <c r="D15" t="str">
        <f>HYPERLINK("http://www.ncbi.nlm.nih.gov/Taxonomy/Browser/wwwtax.cgi?mode=Info&amp;id=61388&amp;lvl=3&amp;lin=f&amp;keep=1&amp;srchmode=1&amp;unlock","61388")</f>
        <v>61388</v>
      </c>
      <c r="E15" t="s">
        <v>66</v>
      </c>
      <c r="F15" t="str">
        <f>HYPERLINK("http://www.ncbi.nlm.nih.gov/Taxonomy/Browser/wwwtax.cgi?mode=Info&amp;id=61388&amp;lvl=3&amp;lin=f&amp;keep=1&amp;srchmode=1&amp;unlock","Prionailurus viverrinus")</f>
        <v>Prionailurus viverrinus</v>
      </c>
      <c r="G15" t="s">
        <v>94</v>
      </c>
      <c r="H15" t="str">
        <f>HYPERLINK("http://www.ncbi.nlm.nih.gov/protein/XP_047726302.1","ubiquitin-like protein ISG15")</f>
        <v>ubiquitin-like protein ISG15</v>
      </c>
      <c r="I15" t="s">
        <v>261</v>
      </c>
      <c r="J15" t="s">
        <v>153</v>
      </c>
      <c r="K15">
        <v>20</v>
      </c>
      <c r="L15" t="s">
        <v>74</v>
      </c>
      <c r="M15" t="s">
        <v>153</v>
      </c>
      <c r="N15" t="s">
        <v>75</v>
      </c>
      <c r="O15" t="s">
        <v>153</v>
      </c>
      <c r="P15">
        <v>174.203</v>
      </c>
      <c r="Q15" t="s">
        <v>153</v>
      </c>
      <c r="R15" t="s">
        <v>153</v>
      </c>
      <c r="S15">
        <v>23</v>
      </c>
      <c r="T15" t="s">
        <v>116</v>
      </c>
      <c r="U15" t="s">
        <v>69</v>
      </c>
      <c r="V15" t="s">
        <v>117</v>
      </c>
      <c r="W15" t="s">
        <v>69</v>
      </c>
      <c r="X15">
        <v>149.208</v>
      </c>
      <c r="Y15" t="s">
        <v>69</v>
      </c>
      <c r="Z15" t="s">
        <v>69</v>
      </c>
      <c r="AA15">
        <v>27</v>
      </c>
      <c r="AB15" t="s">
        <v>119</v>
      </c>
      <c r="AC15" t="s">
        <v>69</v>
      </c>
      <c r="AD15" t="s">
        <v>120</v>
      </c>
      <c r="AE15" t="s">
        <v>69</v>
      </c>
      <c r="AF15">
        <v>147.131</v>
      </c>
      <c r="AG15" t="s">
        <v>69</v>
      </c>
      <c r="AH15" t="s">
        <v>69</v>
      </c>
      <c r="AI15">
        <v>30</v>
      </c>
      <c r="AJ15" t="s">
        <v>147</v>
      </c>
      <c r="AK15" t="s">
        <v>153</v>
      </c>
      <c r="AL15" t="s">
        <v>148</v>
      </c>
      <c r="AM15" t="s">
        <v>153</v>
      </c>
      <c r="AN15">
        <v>146.14599999999999</v>
      </c>
      <c r="AO15" t="s">
        <v>153</v>
      </c>
      <c r="AP15" t="s">
        <v>153</v>
      </c>
      <c r="AQ15">
        <v>121</v>
      </c>
      <c r="AR15" t="s">
        <v>72</v>
      </c>
      <c r="AS15" t="s">
        <v>69</v>
      </c>
      <c r="AT15" t="s">
        <v>71</v>
      </c>
      <c r="AU15" t="s">
        <v>69</v>
      </c>
      <c r="AV15">
        <v>131.17500000000001</v>
      </c>
      <c r="AW15" t="s">
        <v>69</v>
      </c>
      <c r="AX15" t="s">
        <v>69</v>
      </c>
      <c r="AY15">
        <v>129</v>
      </c>
      <c r="AZ15" t="s">
        <v>76</v>
      </c>
      <c r="BA15" t="s">
        <v>69</v>
      </c>
      <c r="BB15" t="s">
        <v>75</v>
      </c>
      <c r="BC15" t="s">
        <v>69</v>
      </c>
      <c r="BD15">
        <v>146.18899999999999</v>
      </c>
      <c r="BE15" t="s">
        <v>69</v>
      </c>
      <c r="BF15" t="s">
        <v>69</v>
      </c>
      <c r="BG15">
        <v>131</v>
      </c>
      <c r="BH15" t="s">
        <v>116</v>
      </c>
      <c r="BI15" t="s">
        <v>153</v>
      </c>
      <c r="BJ15" t="s">
        <v>117</v>
      </c>
      <c r="BK15" t="s">
        <v>153</v>
      </c>
      <c r="BL15">
        <v>149.208</v>
      </c>
      <c r="BM15" t="s">
        <v>69</v>
      </c>
      <c r="BN15" t="s">
        <v>69</v>
      </c>
      <c r="BO15">
        <v>132</v>
      </c>
      <c r="BP15" t="s">
        <v>119</v>
      </c>
      <c r="BQ15" t="s">
        <v>69</v>
      </c>
      <c r="BR15" t="s">
        <v>120</v>
      </c>
      <c r="BS15" t="s">
        <v>69</v>
      </c>
      <c r="BT15">
        <v>147.131</v>
      </c>
      <c r="BU15" t="s">
        <v>69</v>
      </c>
      <c r="BV15" t="s">
        <v>69</v>
      </c>
      <c r="BW15">
        <v>151</v>
      </c>
      <c r="BX15" t="s">
        <v>153</v>
      </c>
      <c r="BY15" t="s">
        <v>69</v>
      </c>
      <c r="BZ15" t="s">
        <v>148</v>
      </c>
      <c r="CA15" t="s">
        <v>69</v>
      </c>
      <c r="CB15">
        <v>132.119</v>
      </c>
      <c r="CC15" t="s">
        <v>69</v>
      </c>
      <c r="CD15" t="s">
        <v>69</v>
      </c>
      <c r="CE15">
        <v>152</v>
      </c>
      <c r="CF15" t="s">
        <v>72</v>
      </c>
      <c r="CG15" t="s">
        <v>69</v>
      </c>
      <c r="CH15" t="s">
        <v>71</v>
      </c>
      <c r="CI15" t="s">
        <v>69</v>
      </c>
      <c r="CJ15">
        <v>131.17500000000001</v>
      </c>
      <c r="CK15" t="s">
        <v>69</v>
      </c>
      <c r="CL15" t="s">
        <v>69</v>
      </c>
      <c r="CM15">
        <v>154</v>
      </c>
      <c r="CN15" t="s">
        <v>72</v>
      </c>
      <c r="CO15" t="s">
        <v>69</v>
      </c>
      <c r="CP15" t="s">
        <v>71</v>
      </c>
      <c r="CQ15" t="s">
        <v>69</v>
      </c>
      <c r="CR15">
        <v>131.17500000000001</v>
      </c>
      <c r="CS15" t="s">
        <v>69</v>
      </c>
      <c r="CT15" t="s">
        <v>69</v>
      </c>
    </row>
    <row r="16" spans="1:98" x14ac:dyDescent="0.25">
      <c r="A16">
        <v>7</v>
      </c>
      <c r="B16" t="str">
        <f>HYPERLINK("http://www.ncbi.nlm.nih.gov/protein/CAD7689432.1","CAD7689432.1")</f>
        <v>CAD7689432.1</v>
      </c>
      <c r="C16">
        <v>27271</v>
      </c>
      <c r="D16" t="str">
        <f>HYPERLINK("http://www.ncbi.nlm.nih.gov/Taxonomy/Browser/wwwtax.cgi?mode=Info&amp;id=34880&amp;lvl=3&amp;lin=f&amp;keep=1&amp;srchmode=1&amp;unlock","34880")</f>
        <v>34880</v>
      </c>
      <c r="E16" t="s">
        <v>66</v>
      </c>
      <c r="F16" t="str">
        <f>HYPERLINK("http://www.ncbi.nlm.nih.gov/Taxonomy/Browser/wwwtax.cgi?mode=Info&amp;id=34880&amp;lvl=3&amp;lin=f&amp;keep=1&amp;srchmode=1&amp;unlock","Nyctereutes procyonoides")</f>
        <v>Nyctereutes procyonoides</v>
      </c>
      <c r="G16" t="s">
        <v>92</v>
      </c>
      <c r="H16" t="str">
        <f>HYPERLINK("http://www.ncbi.nlm.nih.gov/protein/CAD7689432.1","unnamed protein product")</f>
        <v>unnamed protein product</v>
      </c>
      <c r="I16" t="s">
        <v>261</v>
      </c>
      <c r="J16" t="s">
        <v>153</v>
      </c>
      <c r="K16">
        <v>20</v>
      </c>
      <c r="L16" t="s">
        <v>74</v>
      </c>
      <c r="M16" t="s">
        <v>153</v>
      </c>
      <c r="N16" t="s">
        <v>75</v>
      </c>
      <c r="O16" t="s">
        <v>153</v>
      </c>
      <c r="P16">
        <v>174.203</v>
      </c>
      <c r="Q16" t="s">
        <v>153</v>
      </c>
      <c r="R16" t="s">
        <v>153</v>
      </c>
      <c r="S16">
        <v>23</v>
      </c>
      <c r="T16" t="s">
        <v>116</v>
      </c>
      <c r="U16" t="s">
        <v>69</v>
      </c>
      <c r="V16" t="s">
        <v>117</v>
      </c>
      <c r="W16" t="s">
        <v>69</v>
      </c>
      <c r="X16">
        <v>149.208</v>
      </c>
      <c r="Y16" t="s">
        <v>69</v>
      </c>
      <c r="Z16" t="s">
        <v>69</v>
      </c>
      <c r="AA16">
        <v>27</v>
      </c>
      <c r="AB16" t="s">
        <v>119</v>
      </c>
      <c r="AC16" t="s">
        <v>69</v>
      </c>
      <c r="AD16" t="s">
        <v>120</v>
      </c>
      <c r="AE16" t="s">
        <v>69</v>
      </c>
      <c r="AF16">
        <v>147.131</v>
      </c>
      <c r="AG16" t="s">
        <v>69</v>
      </c>
      <c r="AH16" t="s">
        <v>69</v>
      </c>
      <c r="AI16">
        <v>30</v>
      </c>
      <c r="AJ16" t="s">
        <v>147</v>
      </c>
      <c r="AK16" t="s">
        <v>153</v>
      </c>
      <c r="AL16" t="s">
        <v>148</v>
      </c>
      <c r="AM16" t="s">
        <v>153</v>
      </c>
      <c r="AN16">
        <v>146.14599999999999</v>
      </c>
      <c r="AO16" t="s">
        <v>153</v>
      </c>
      <c r="AP16" t="s">
        <v>153</v>
      </c>
      <c r="AQ16">
        <v>121</v>
      </c>
      <c r="AR16" t="s">
        <v>72</v>
      </c>
      <c r="AS16" t="s">
        <v>69</v>
      </c>
      <c r="AT16" t="s">
        <v>71</v>
      </c>
      <c r="AU16" t="s">
        <v>69</v>
      </c>
      <c r="AV16">
        <v>131.17500000000001</v>
      </c>
      <c r="AW16" t="s">
        <v>69</v>
      </c>
      <c r="AX16" t="s">
        <v>69</v>
      </c>
      <c r="AY16">
        <v>129</v>
      </c>
      <c r="AZ16" t="s">
        <v>76</v>
      </c>
      <c r="BA16" t="s">
        <v>69</v>
      </c>
      <c r="BB16" t="s">
        <v>75</v>
      </c>
      <c r="BC16" t="s">
        <v>69</v>
      </c>
      <c r="BD16">
        <v>146.18899999999999</v>
      </c>
      <c r="BE16" t="s">
        <v>69</v>
      </c>
      <c r="BF16" t="s">
        <v>69</v>
      </c>
      <c r="BG16">
        <v>131</v>
      </c>
      <c r="BH16" t="s">
        <v>116</v>
      </c>
      <c r="BI16" t="s">
        <v>153</v>
      </c>
      <c r="BJ16" t="s">
        <v>117</v>
      </c>
      <c r="BK16" t="s">
        <v>153</v>
      </c>
      <c r="BL16">
        <v>149.208</v>
      </c>
      <c r="BM16" t="s">
        <v>69</v>
      </c>
      <c r="BN16" t="s">
        <v>69</v>
      </c>
      <c r="BO16">
        <v>132</v>
      </c>
      <c r="BP16" t="s">
        <v>119</v>
      </c>
      <c r="BQ16" t="s">
        <v>69</v>
      </c>
      <c r="BR16" t="s">
        <v>120</v>
      </c>
      <c r="BS16" t="s">
        <v>69</v>
      </c>
      <c r="BT16">
        <v>147.131</v>
      </c>
      <c r="BU16" t="s">
        <v>69</v>
      </c>
      <c r="BV16" t="s">
        <v>69</v>
      </c>
      <c r="BW16">
        <v>151</v>
      </c>
      <c r="BX16" t="s">
        <v>153</v>
      </c>
      <c r="BY16" t="s">
        <v>69</v>
      </c>
      <c r="BZ16" t="s">
        <v>148</v>
      </c>
      <c r="CA16" t="s">
        <v>69</v>
      </c>
      <c r="CB16">
        <v>132.119</v>
      </c>
      <c r="CC16" t="s">
        <v>69</v>
      </c>
      <c r="CD16" t="s">
        <v>69</v>
      </c>
      <c r="CE16">
        <v>152</v>
      </c>
      <c r="CF16" t="s">
        <v>72</v>
      </c>
      <c r="CG16" t="s">
        <v>69</v>
      </c>
      <c r="CH16" t="s">
        <v>71</v>
      </c>
      <c r="CI16" t="s">
        <v>69</v>
      </c>
      <c r="CJ16">
        <v>131.17500000000001</v>
      </c>
      <c r="CK16" t="s">
        <v>69</v>
      </c>
      <c r="CL16" t="s">
        <v>69</v>
      </c>
      <c r="CM16">
        <v>154</v>
      </c>
      <c r="CN16" t="s">
        <v>72</v>
      </c>
      <c r="CO16" t="s">
        <v>69</v>
      </c>
      <c r="CP16" t="s">
        <v>71</v>
      </c>
      <c r="CQ16" t="s">
        <v>69</v>
      </c>
      <c r="CR16">
        <v>131.17500000000001</v>
      </c>
      <c r="CS16" t="s">
        <v>69</v>
      </c>
      <c r="CT16" t="s">
        <v>69</v>
      </c>
    </row>
    <row r="17" spans="1:98" x14ac:dyDescent="0.25">
      <c r="A17">
        <v>7</v>
      </c>
      <c r="B17" t="str">
        <f>HYPERLINK("http://www.ncbi.nlm.nih.gov/protein/ACB87600.1","ACB87600.1")</f>
        <v>ACB87600.1</v>
      </c>
      <c r="C17">
        <v>86952</v>
      </c>
      <c r="D17" t="str">
        <f>HYPERLINK("http://www.ncbi.nlm.nih.gov/Taxonomy/Browser/wwwtax.cgi?mode=Info&amp;id=9823&amp;lvl=3&amp;lin=f&amp;keep=1&amp;srchmode=1&amp;unlock","9823")</f>
        <v>9823</v>
      </c>
      <c r="E17" t="s">
        <v>66</v>
      </c>
      <c r="F17" t="str">
        <f>HYPERLINK("http://www.ncbi.nlm.nih.gov/Taxonomy/Browser/wwwtax.cgi?mode=Info&amp;id=9823&amp;lvl=3&amp;lin=f&amp;keep=1&amp;srchmode=1&amp;unlock","Sus scrofa")</f>
        <v>Sus scrofa</v>
      </c>
      <c r="G17" t="s">
        <v>85</v>
      </c>
      <c r="H17" t="str">
        <f>HYPERLINK("http://www.ncbi.nlm.nih.gov/protein/ACB87600.1","interferon stimulated gene 15")</f>
        <v>interferon stimulated gene 15</v>
      </c>
      <c r="I17" t="s">
        <v>261</v>
      </c>
      <c r="J17" t="s">
        <v>153</v>
      </c>
      <c r="K17">
        <v>20</v>
      </c>
      <c r="L17" t="s">
        <v>74</v>
      </c>
      <c r="M17" t="s">
        <v>153</v>
      </c>
      <c r="N17" t="s">
        <v>75</v>
      </c>
      <c r="O17" t="s">
        <v>153</v>
      </c>
      <c r="P17">
        <v>174.203</v>
      </c>
      <c r="Q17" t="s">
        <v>153</v>
      </c>
      <c r="R17" t="s">
        <v>153</v>
      </c>
      <c r="S17">
        <v>23</v>
      </c>
      <c r="T17" t="s">
        <v>116</v>
      </c>
      <c r="U17" t="s">
        <v>69</v>
      </c>
      <c r="V17" t="s">
        <v>117</v>
      </c>
      <c r="W17" t="s">
        <v>69</v>
      </c>
      <c r="X17">
        <v>149.208</v>
      </c>
      <c r="Y17" t="s">
        <v>69</v>
      </c>
      <c r="Z17" t="s">
        <v>69</v>
      </c>
      <c r="AA17">
        <v>27</v>
      </c>
      <c r="AB17" t="s">
        <v>156</v>
      </c>
      <c r="AC17" t="s">
        <v>153</v>
      </c>
      <c r="AD17" t="s">
        <v>120</v>
      </c>
      <c r="AE17" t="s">
        <v>69</v>
      </c>
      <c r="AF17">
        <v>133.10400000000001</v>
      </c>
      <c r="AG17" t="s">
        <v>69</v>
      </c>
      <c r="AH17" t="s">
        <v>69</v>
      </c>
      <c r="AI17">
        <v>30</v>
      </c>
      <c r="AJ17" t="s">
        <v>147</v>
      </c>
      <c r="AK17" t="s">
        <v>153</v>
      </c>
      <c r="AL17" t="s">
        <v>148</v>
      </c>
      <c r="AM17" t="s">
        <v>153</v>
      </c>
      <c r="AN17">
        <v>146.14599999999999</v>
      </c>
      <c r="AO17" t="s">
        <v>153</v>
      </c>
      <c r="AP17" t="s">
        <v>153</v>
      </c>
      <c r="AQ17">
        <v>120</v>
      </c>
      <c r="AR17" t="s">
        <v>157</v>
      </c>
      <c r="AS17" t="s">
        <v>153</v>
      </c>
      <c r="AT17" t="s">
        <v>75</v>
      </c>
      <c r="AU17" t="s">
        <v>153</v>
      </c>
      <c r="AV17">
        <v>155.15600000000001</v>
      </c>
      <c r="AW17" t="s">
        <v>69</v>
      </c>
      <c r="AX17" t="s">
        <v>69</v>
      </c>
      <c r="AY17">
        <v>128</v>
      </c>
      <c r="AZ17" t="s">
        <v>76</v>
      </c>
      <c r="BA17" t="s">
        <v>69</v>
      </c>
      <c r="BB17" t="s">
        <v>75</v>
      </c>
      <c r="BC17" t="s">
        <v>69</v>
      </c>
      <c r="BD17">
        <v>146.18899999999999</v>
      </c>
      <c r="BE17" t="s">
        <v>69</v>
      </c>
      <c r="BF17" t="s">
        <v>69</v>
      </c>
      <c r="BG17">
        <v>130</v>
      </c>
      <c r="BH17" t="s">
        <v>116</v>
      </c>
      <c r="BI17" t="s">
        <v>153</v>
      </c>
      <c r="BJ17" t="s">
        <v>117</v>
      </c>
      <c r="BK17" t="s">
        <v>153</v>
      </c>
      <c r="BL17">
        <v>149.208</v>
      </c>
      <c r="BM17" t="s">
        <v>69</v>
      </c>
      <c r="BN17" t="s">
        <v>69</v>
      </c>
      <c r="BO17">
        <v>131</v>
      </c>
      <c r="BP17" t="s">
        <v>119</v>
      </c>
      <c r="BQ17" t="s">
        <v>69</v>
      </c>
      <c r="BR17" t="s">
        <v>120</v>
      </c>
      <c r="BS17" t="s">
        <v>69</v>
      </c>
      <c r="BT17">
        <v>147.131</v>
      </c>
      <c r="BU17" t="s">
        <v>69</v>
      </c>
      <c r="BV17" t="s">
        <v>69</v>
      </c>
      <c r="BW17">
        <v>150</v>
      </c>
      <c r="BX17" t="s">
        <v>153</v>
      </c>
      <c r="BY17" t="s">
        <v>69</v>
      </c>
      <c r="BZ17" t="s">
        <v>148</v>
      </c>
      <c r="CA17" t="s">
        <v>69</v>
      </c>
      <c r="CB17">
        <v>132.119</v>
      </c>
      <c r="CC17" t="s">
        <v>69</v>
      </c>
      <c r="CD17" t="s">
        <v>69</v>
      </c>
      <c r="CE17">
        <v>151</v>
      </c>
      <c r="CF17" t="s">
        <v>72</v>
      </c>
      <c r="CG17" t="s">
        <v>69</v>
      </c>
      <c r="CH17" t="s">
        <v>71</v>
      </c>
      <c r="CI17" t="s">
        <v>69</v>
      </c>
      <c r="CJ17">
        <v>131.17500000000001</v>
      </c>
      <c r="CK17" t="s">
        <v>69</v>
      </c>
      <c r="CL17" t="s">
        <v>69</v>
      </c>
      <c r="CM17">
        <v>153</v>
      </c>
      <c r="CN17" t="s">
        <v>72</v>
      </c>
      <c r="CO17" t="s">
        <v>69</v>
      </c>
      <c r="CP17" t="s">
        <v>71</v>
      </c>
      <c r="CQ17" t="s">
        <v>69</v>
      </c>
      <c r="CR17">
        <v>131.17500000000001</v>
      </c>
      <c r="CS17" t="s">
        <v>69</v>
      </c>
      <c r="CT17" t="s">
        <v>69</v>
      </c>
    </row>
    <row r="18" spans="1:98" x14ac:dyDescent="0.25">
      <c r="A18">
        <v>7</v>
      </c>
      <c r="B18" t="str">
        <f>HYPERLINK("http://www.ncbi.nlm.nih.gov/protein/XP_012975405.2","XP_012975405.2")</f>
        <v>XP_012975405.2</v>
      </c>
      <c r="C18">
        <v>54410</v>
      </c>
      <c r="D18" t="str">
        <f>HYPERLINK("http://www.ncbi.nlm.nih.gov/Taxonomy/Browser/wwwtax.cgi?mode=Info&amp;id=10036&amp;lvl=3&amp;lin=f&amp;keep=1&amp;srchmode=1&amp;unlock","10036")</f>
        <v>10036</v>
      </c>
      <c r="E18" t="s">
        <v>66</v>
      </c>
      <c r="F18" t="str">
        <f>HYPERLINK("http://www.ncbi.nlm.nih.gov/Taxonomy/Browser/wwwtax.cgi?mode=Info&amp;id=10036&amp;lvl=3&amp;lin=f&amp;keep=1&amp;srchmode=1&amp;unlock","Mesocricetus auratus")</f>
        <v>Mesocricetus auratus</v>
      </c>
      <c r="G18" t="s">
        <v>87</v>
      </c>
      <c r="H18" t="str">
        <f>HYPERLINK("http://www.ncbi.nlm.nih.gov/protein/XP_012975405.2","ubiquitin-like protein ISG15")</f>
        <v>ubiquitin-like protein ISG15</v>
      </c>
      <c r="I18" t="s">
        <v>261</v>
      </c>
      <c r="J18" t="s">
        <v>153</v>
      </c>
      <c r="K18">
        <v>20</v>
      </c>
      <c r="L18" t="s">
        <v>149</v>
      </c>
      <c r="M18" t="s">
        <v>153</v>
      </c>
      <c r="N18" t="s">
        <v>150</v>
      </c>
      <c r="O18" t="s">
        <v>69</v>
      </c>
      <c r="P18">
        <v>119.119</v>
      </c>
      <c r="Q18" t="s">
        <v>69</v>
      </c>
      <c r="R18" t="s">
        <v>69</v>
      </c>
      <c r="S18">
        <v>23</v>
      </c>
      <c r="T18" t="s">
        <v>149</v>
      </c>
      <c r="U18" t="s">
        <v>153</v>
      </c>
      <c r="V18" t="s">
        <v>150</v>
      </c>
      <c r="W18" t="s">
        <v>153</v>
      </c>
      <c r="X18">
        <v>119.119</v>
      </c>
      <c r="Y18" t="s">
        <v>153</v>
      </c>
      <c r="Z18" t="s">
        <v>153</v>
      </c>
      <c r="AA18">
        <v>27</v>
      </c>
      <c r="AB18" t="s">
        <v>119</v>
      </c>
      <c r="AC18" t="s">
        <v>69</v>
      </c>
      <c r="AD18" t="s">
        <v>120</v>
      </c>
      <c r="AE18" t="s">
        <v>69</v>
      </c>
      <c r="AF18">
        <v>147.131</v>
      </c>
      <c r="AG18" t="s">
        <v>69</v>
      </c>
      <c r="AH18" t="s">
        <v>69</v>
      </c>
      <c r="AI18">
        <v>30</v>
      </c>
      <c r="AJ18" t="s">
        <v>74</v>
      </c>
      <c r="AK18" t="s">
        <v>153</v>
      </c>
      <c r="AL18" t="s">
        <v>75</v>
      </c>
      <c r="AM18" t="s">
        <v>153</v>
      </c>
      <c r="AN18">
        <v>174.203</v>
      </c>
      <c r="AO18" t="s">
        <v>153</v>
      </c>
      <c r="AP18" t="s">
        <v>153</v>
      </c>
      <c r="AQ18">
        <v>120</v>
      </c>
      <c r="AR18" t="s">
        <v>147</v>
      </c>
      <c r="AS18" t="s">
        <v>153</v>
      </c>
      <c r="AT18" t="s">
        <v>148</v>
      </c>
      <c r="AU18" t="s">
        <v>153</v>
      </c>
      <c r="AV18">
        <v>146.14599999999999</v>
      </c>
      <c r="AW18" t="s">
        <v>69</v>
      </c>
      <c r="AX18" t="s">
        <v>69</v>
      </c>
      <c r="AY18">
        <v>128</v>
      </c>
      <c r="AZ18" t="s">
        <v>74</v>
      </c>
      <c r="BA18" t="s">
        <v>153</v>
      </c>
      <c r="BB18" t="s">
        <v>75</v>
      </c>
      <c r="BC18" t="s">
        <v>69</v>
      </c>
      <c r="BD18">
        <v>174.203</v>
      </c>
      <c r="BE18" t="s">
        <v>69</v>
      </c>
      <c r="BF18" t="s">
        <v>69</v>
      </c>
      <c r="BG18">
        <v>130</v>
      </c>
      <c r="BH18" t="s">
        <v>116</v>
      </c>
      <c r="BI18" t="s">
        <v>153</v>
      </c>
      <c r="BJ18" t="s">
        <v>117</v>
      </c>
      <c r="BK18" t="s">
        <v>153</v>
      </c>
      <c r="BL18">
        <v>149.208</v>
      </c>
      <c r="BM18" t="s">
        <v>69</v>
      </c>
      <c r="BN18" t="s">
        <v>69</v>
      </c>
      <c r="BO18">
        <v>131</v>
      </c>
      <c r="BP18" t="s">
        <v>119</v>
      </c>
      <c r="BQ18" t="s">
        <v>69</v>
      </c>
      <c r="BR18" t="s">
        <v>120</v>
      </c>
      <c r="BS18" t="s">
        <v>69</v>
      </c>
      <c r="BT18">
        <v>147.131</v>
      </c>
      <c r="BU18" t="s">
        <v>69</v>
      </c>
      <c r="BV18" t="s">
        <v>69</v>
      </c>
      <c r="BW18">
        <v>150</v>
      </c>
      <c r="BX18" t="s">
        <v>153</v>
      </c>
      <c r="BY18" t="s">
        <v>69</v>
      </c>
      <c r="BZ18" t="s">
        <v>148</v>
      </c>
      <c r="CA18" t="s">
        <v>69</v>
      </c>
      <c r="CB18">
        <v>132.119</v>
      </c>
      <c r="CC18" t="s">
        <v>69</v>
      </c>
      <c r="CD18" t="s">
        <v>69</v>
      </c>
      <c r="CE18">
        <v>151</v>
      </c>
      <c r="CF18" t="s">
        <v>72</v>
      </c>
      <c r="CG18" t="s">
        <v>69</v>
      </c>
      <c r="CH18" t="s">
        <v>71</v>
      </c>
      <c r="CI18" t="s">
        <v>69</v>
      </c>
      <c r="CJ18">
        <v>131.17500000000001</v>
      </c>
      <c r="CK18" t="s">
        <v>69</v>
      </c>
      <c r="CL18" t="s">
        <v>69</v>
      </c>
      <c r="CM18">
        <v>153</v>
      </c>
      <c r="CN18" t="s">
        <v>72</v>
      </c>
      <c r="CO18" t="s">
        <v>69</v>
      </c>
      <c r="CP18" t="s">
        <v>71</v>
      </c>
      <c r="CQ18" t="s">
        <v>69</v>
      </c>
      <c r="CR18">
        <v>131.17500000000001</v>
      </c>
      <c r="CS18" t="s">
        <v>69</v>
      </c>
      <c r="CT18" t="s">
        <v>69</v>
      </c>
    </row>
    <row r="19" spans="1:98" x14ac:dyDescent="0.25">
      <c r="A19">
        <v>7</v>
      </c>
      <c r="B19" t="str">
        <f>HYPERLINK("http://www.ncbi.nlm.nih.gov/protein/XP_004781339.1","XP_004781339.1")</f>
        <v>XP_004781339.1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HYPERLINK("http://www.ncbi.nlm.nih.gov/protein/XP_004781339.1","ubiquitin-like protein ISG15")</f>
        <v>ubiquitin-like protein ISG15</v>
      </c>
      <c r="I19" t="s">
        <v>261</v>
      </c>
      <c r="J19" t="s">
        <v>153</v>
      </c>
      <c r="K19">
        <v>20</v>
      </c>
      <c r="L19" t="s">
        <v>74</v>
      </c>
      <c r="M19" t="s">
        <v>153</v>
      </c>
      <c r="N19" t="s">
        <v>75</v>
      </c>
      <c r="O19" t="s">
        <v>153</v>
      </c>
      <c r="P19">
        <v>174.203</v>
      </c>
      <c r="Q19" t="s">
        <v>153</v>
      </c>
      <c r="R19" t="s">
        <v>153</v>
      </c>
      <c r="S19">
        <v>23</v>
      </c>
      <c r="T19" t="s">
        <v>116</v>
      </c>
      <c r="U19" t="s">
        <v>69</v>
      </c>
      <c r="V19" t="s">
        <v>117</v>
      </c>
      <c r="W19" t="s">
        <v>69</v>
      </c>
      <c r="X19">
        <v>149.208</v>
      </c>
      <c r="Y19" t="s">
        <v>69</v>
      </c>
      <c r="Z19" t="s">
        <v>69</v>
      </c>
      <c r="AA19">
        <v>27</v>
      </c>
      <c r="AB19" t="s">
        <v>119</v>
      </c>
      <c r="AC19" t="s">
        <v>69</v>
      </c>
      <c r="AD19" t="s">
        <v>120</v>
      </c>
      <c r="AE19" t="s">
        <v>69</v>
      </c>
      <c r="AF19">
        <v>147.131</v>
      </c>
      <c r="AG19" t="s">
        <v>69</v>
      </c>
      <c r="AH19" t="s">
        <v>69</v>
      </c>
      <c r="AI19">
        <v>30</v>
      </c>
      <c r="AJ19" t="s">
        <v>147</v>
      </c>
      <c r="AK19" t="s">
        <v>153</v>
      </c>
      <c r="AL19" t="s">
        <v>148</v>
      </c>
      <c r="AM19" t="s">
        <v>153</v>
      </c>
      <c r="AN19">
        <v>146.14599999999999</v>
      </c>
      <c r="AO19" t="s">
        <v>153</v>
      </c>
      <c r="AP19" t="s">
        <v>153</v>
      </c>
      <c r="AQ19">
        <v>121</v>
      </c>
      <c r="AR19" t="s">
        <v>72</v>
      </c>
      <c r="AS19" t="s">
        <v>69</v>
      </c>
      <c r="AT19" t="s">
        <v>71</v>
      </c>
      <c r="AU19" t="s">
        <v>69</v>
      </c>
      <c r="AV19">
        <v>131.17500000000001</v>
      </c>
      <c r="AW19" t="s">
        <v>69</v>
      </c>
      <c r="AX19" t="s">
        <v>69</v>
      </c>
      <c r="AY19">
        <v>129</v>
      </c>
      <c r="AZ19" t="s">
        <v>76</v>
      </c>
      <c r="BA19" t="s">
        <v>69</v>
      </c>
      <c r="BB19" t="s">
        <v>75</v>
      </c>
      <c r="BC19" t="s">
        <v>69</v>
      </c>
      <c r="BD19">
        <v>146.18899999999999</v>
      </c>
      <c r="BE19" t="s">
        <v>69</v>
      </c>
      <c r="BF19" t="s">
        <v>69</v>
      </c>
      <c r="BG19">
        <v>131</v>
      </c>
      <c r="BH19" t="s">
        <v>116</v>
      </c>
      <c r="BI19" t="s">
        <v>153</v>
      </c>
      <c r="BJ19" t="s">
        <v>117</v>
      </c>
      <c r="BK19" t="s">
        <v>153</v>
      </c>
      <c r="BL19">
        <v>149.208</v>
      </c>
      <c r="BM19" t="s">
        <v>69</v>
      </c>
      <c r="BN19" t="s">
        <v>69</v>
      </c>
      <c r="BO19">
        <v>132</v>
      </c>
      <c r="BP19" t="s">
        <v>119</v>
      </c>
      <c r="BQ19" t="s">
        <v>69</v>
      </c>
      <c r="BR19" t="s">
        <v>120</v>
      </c>
      <c r="BS19" t="s">
        <v>69</v>
      </c>
      <c r="BT19">
        <v>147.131</v>
      </c>
      <c r="BU19" t="s">
        <v>69</v>
      </c>
      <c r="BV19" t="s">
        <v>69</v>
      </c>
      <c r="BW19">
        <v>151</v>
      </c>
      <c r="BX19" t="s">
        <v>153</v>
      </c>
      <c r="BY19" t="s">
        <v>69</v>
      </c>
      <c r="BZ19" t="s">
        <v>148</v>
      </c>
      <c r="CA19" t="s">
        <v>69</v>
      </c>
      <c r="CB19">
        <v>132.119</v>
      </c>
      <c r="CC19" t="s">
        <v>69</v>
      </c>
      <c r="CD19" t="s">
        <v>69</v>
      </c>
      <c r="CE19">
        <v>152</v>
      </c>
      <c r="CF19" t="s">
        <v>72</v>
      </c>
      <c r="CG19" t="s">
        <v>69</v>
      </c>
      <c r="CH19" t="s">
        <v>71</v>
      </c>
      <c r="CI19" t="s">
        <v>69</v>
      </c>
      <c r="CJ19">
        <v>131.17500000000001</v>
      </c>
      <c r="CK19" t="s">
        <v>69</v>
      </c>
      <c r="CL19" t="s">
        <v>69</v>
      </c>
      <c r="CM19">
        <v>154</v>
      </c>
      <c r="CN19" t="s">
        <v>72</v>
      </c>
      <c r="CO19" t="s">
        <v>69</v>
      </c>
      <c r="CP19" t="s">
        <v>71</v>
      </c>
      <c r="CQ19" t="s">
        <v>69</v>
      </c>
      <c r="CR19">
        <v>131.17500000000001</v>
      </c>
      <c r="CS19" t="s">
        <v>69</v>
      </c>
      <c r="CT19" t="s">
        <v>69</v>
      </c>
    </row>
    <row r="20" spans="1:98" x14ac:dyDescent="0.25">
      <c r="A20">
        <v>7</v>
      </c>
      <c r="B20" t="str">
        <f>HYPERLINK("http://www.ncbi.nlm.nih.gov/protein/XP_017529468.1","XP_017529468.1")</f>
        <v>XP_017529468.1</v>
      </c>
      <c r="C20">
        <v>56064</v>
      </c>
      <c r="D20" t="str">
        <f>HYPERLINK("http://www.ncbi.nlm.nih.gov/Taxonomy/Browser/wwwtax.cgi?mode=Info&amp;id=9974&amp;lvl=3&amp;lin=f&amp;keep=1&amp;srchmode=1&amp;unlock","9974")</f>
        <v>9974</v>
      </c>
      <c r="E20" t="s">
        <v>66</v>
      </c>
      <c r="F20" t="str">
        <f>HYPERLINK("http://www.ncbi.nlm.nih.gov/Taxonomy/Browser/wwwtax.cgi?mode=Info&amp;id=9974&amp;lvl=3&amp;lin=f&amp;keep=1&amp;srchmode=1&amp;unlock","Manis javanica")</f>
        <v>Manis javanica</v>
      </c>
      <c r="G20" t="s">
        <v>100</v>
      </c>
      <c r="H20" t="str">
        <f>HYPERLINK("http://www.ncbi.nlm.nih.gov/protein/XP_017529468.1","ubiquitin-like protein ISG15")</f>
        <v>ubiquitin-like protein ISG15</v>
      </c>
      <c r="I20" t="s">
        <v>261</v>
      </c>
      <c r="J20" t="s">
        <v>153</v>
      </c>
      <c r="K20">
        <v>20</v>
      </c>
      <c r="L20" t="s">
        <v>147</v>
      </c>
      <c r="M20" t="s">
        <v>153</v>
      </c>
      <c r="N20" t="s">
        <v>148</v>
      </c>
      <c r="O20" t="s">
        <v>153</v>
      </c>
      <c r="P20">
        <v>146.14599999999999</v>
      </c>
      <c r="Q20" t="s">
        <v>153</v>
      </c>
      <c r="R20" t="s">
        <v>153</v>
      </c>
      <c r="S20">
        <v>23</v>
      </c>
      <c r="T20" t="s">
        <v>116</v>
      </c>
      <c r="U20" t="s">
        <v>69</v>
      </c>
      <c r="V20" t="s">
        <v>117</v>
      </c>
      <c r="W20" t="s">
        <v>69</v>
      </c>
      <c r="X20">
        <v>149.208</v>
      </c>
      <c r="Y20" t="s">
        <v>69</v>
      </c>
      <c r="Z20" t="s">
        <v>69</v>
      </c>
      <c r="AA20">
        <v>27</v>
      </c>
      <c r="AB20" t="s">
        <v>119</v>
      </c>
      <c r="AC20" t="s">
        <v>69</v>
      </c>
      <c r="AD20" t="s">
        <v>120</v>
      </c>
      <c r="AE20" t="s">
        <v>69</v>
      </c>
      <c r="AF20">
        <v>147.131</v>
      </c>
      <c r="AG20" t="s">
        <v>69</v>
      </c>
      <c r="AH20" t="s">
        <v>69</v>
      </c>
      <c r="AI20">
        <v>30</v>
      </c>
      <c r="AJ20" t="s">
        <v>147</v>
      </c>
      <c r="AK20" t="s">
        <v>153</v>
      </c>
      <c r="AL20" t="s">
        <v>148</v>
      </c>
      <c r="AM20" t="s">
        <v>153</v>
      </c>
      <c r="AN20">
        <v>146.14599999999999</v>
      </c>
      <c r="AO20" t="s">
        <v>153</v>
      </c>
      <c r="AP20" t="s">
        <v>153</v>
      </c>
      <c r="AQ20">
        <v>121</v>
      </c>
      <c r="AR20" t="s">
        <v>147</v>
      </c>
      <c r="AS20" t="s">
        <v>153</v>
      </c>
      <c r="AT20" t="s">
        <v>148</v>
      </c>
      <c r="AU20" t="s">
        <v>153</v>
      </c>
      <c r="AV20">
        <v>146.14599999999999</v>
      </c>
      <c r="AW20" t="s">
        <v>69</v>
      </c>
      <c r="AX20" t="s">
        <v>69</v>
      </c>
      <c r="AY20">
        <v>129</v>
      </c>
      <c r="AZ20" t="s">
        <v>76</v>
      </c>
      <c r="BA20" t="s">
        <v>69</v>
      </c>
      <c r="BB20" t="s">
        <v>75</v>
      </c>
      <c r="BC20" t="s">
        <v>69</v>
      </c>
      <c r="BD20">
        <v>146.18899999999999</v>
      </c>
      <c r="BE20" t="s">
        <v>69</v>
      </c>
      <c r="BF20" t="s">
        <v>69</v>
      </c>
      <c r="BG20">
        <v>131</v>
      </c>
      <c r="BH20" t="s">
        <v>72</v>
      </c>
      <c r="BI20" t="s">
        <v>69</v>
      </c>
      <c r="BJ20" t="s">
        <v>71</v>
      </c>
      <c r="BK20" t="s">
        <v>69</v>
      </c>
      <c r="BL20">
        <v>131.17500000000001</v>
      </c>
      <c r="BM20" t="s">
        <v>69</v>
      </c>
      <c r="BN20" t="s">
        <v>69</v>
      </c>
      <c r="BO20">
        <v>132</v>
      </c>
      <c r="BP20" t="s">
        <v>119</v>
      </c>
      <c r="BQ20" t="s">
        <v>69</v>
      </c>
      <c r="BR20" t="s">
        <v>120</v>
      </c>
      <c r="BS20" t="s">
        <v>69</v>
      </c>
      <c r="BT20">
        <v>147.131</v>
      </c>
      <c r="BU20" t="s">
        <v>69</v>
      </c>
      <c r="BV20" t="s">
        <v>69</v>
      </c>
      <c r="BW20">
        <v>151</v>
      </c>
      <c r="BX20" t="s">
        <v>153</v>
      </c>
      <c r="BY20" t="s">
        <v>69</v>
      </c>
      <c r="BZ20" t="s">
        <v>148</v>
      </c>
      <c r="CA20" t="s">
        <v>69</v>
      </c>
      <c r="CB20">
        <v>132.119</v>
      </c>
      <c r="CC20" t="s">
        <v>69</v>
      </c>
      <c r="CD20" t="s">
        <v>69</v>
      </c>
      <c r="CE20">
        <v>152</v>
      </c>
      <c r="CF20" t="s">
        <v>72</v>
      </c>
      <c r="CG20" t="s">
        <v>69</v>
      </c>
      <c r="CH20" t="s">
        <v>71</v>
      </c>
      <c r="CI20" t="s">
        <v>69</v>
      </c>
      <c r="CJ20">
        <v>131.17500000000001</v>
      </c>
      <c r="CK20" t="s">
        <v>69</v>
      </c>
      <c r="CL20" t="s">
        <v>69</v>
      </c>
      <c r="CM20">
        <v>154</v>
      </c>
      <c r="CN20" t="s">
        <v>72</v>
      </c>
      <c r="CO20" t="s">
        <v>69</v>
      </c>
      <c r="CP20" t="s">
        <v>71</v>
      </c>
      <c r="CQ20" t="s">
        <v>69</v>
      </c>
      <c r="CR20">
        <v>131.17500000000001</v>
      </c>
      <c r="CS20" t="s">
        <v>69</v>
      </c>
      <c r="CT20" t="s">
        <v>69</v>
      </c>
    </row>
    <row r="21" spans="1:98" x14ac:dyDescent="0.25">
      <c r="A21">
        <v>7</v>
      </c>
      <c r="B21" t="str">
        <f>HYPERLINK("http://www.ncbi.nlm.nih.gov/protein/XP_046940731.1","XP_046940731.1")</f>
        <v>XP_046940731.1</v>
      </c>
      <c r="C21">
        <v>38764</v>
      </c>
      <c r="D21" t="str">
        <f>HYPERLINK("http://www.ncbi.nlm.nih.gov/Taxonomy/Browser/wwwtax.cgi?mode=Info&amp;id=61384&amp;lvl=3&amp;lin=f&amp;keep=1&amp;srchmode=1&amp;unlock","61384")</f>
        <v>61384</v>
      </c>
      <c r="E21" t="s">
        <v>66</v>
      </c>
      <c r="F21" t="str">
        <f>HYPERLINK("http://www.ncbi.nlm.nih.gov/Taxonomy/Browser/wwwtax.cgi?mode=Info&amp;id=61384&amp;lvl=3&amp;lin=f&amp;keep=1&amp;srchmode=1&amp;unlock","Lynx rufus")</f>
        <v>Lynx rufus</v>
      </c>
      <c r="G21" t="s">
        <v>93</v>
      </c>
      <c r="H21" t="str">
        <f>HYPERLINK("http://www.ncbi.nlm.nih.gov/protein/XP_046940731.1","ubiquitin-like protein ISG15")</f>
        <v>ubiquitin-like protein ISG15</v>
      </c>
      <c r="I21" t="s">
        <v>261</v>
      </c>
      <c r="J21" t="s">
        <v>153</v>
      </c>
      <c r="K21">
        <v>20</v>
      </c>
      <c r="L21" t="s">
        <v>74</v>
      </c>
      <c r="M21" t="s">
        <v>153</v>
      </c>
      <c r="N21" t="s">
        <v>75</v>
      </c>
      <c r="O21" t="s">
        <v>153</v>
      </c>
      <c r="P21">
        <v>174.203</v>
      </c>
      <c r="Q21" t="s">
        <v>153</v>
      </c>
      <c r="R21" t="s">
        <v>153</v>
      </c>
      <c r="S21">
        <v>23</v>
      </c>
      <c r="T21" t="s">
        <v>116</v>
      </c>
      <c r="U21" t="s">
        <v>69</v>
      </c>
      <c r="V21" t="s">
        <v>117</v>
      </c>
      <c r="W21" t="s">
        <v>69</v>
      </c>
      <c r="X21">
        <v>149.208</v>
      </c>
      <c r="Y21" t="s">
        <v>69</v>
      </c>
      <c r="Z21" t="s">
        <v>69</v>
      </c>
      <c r="AA21">
        <v>27</v>
      </c>
      <c r="AB21" t="s">
        <v>119</v>
      </c>
      <c r="AC21" t="s">
        <v>69</v>
      </c>
      <c r="AD21" t="s">
        <v>120</v>
      </c>
      <c r="AE21" t="s">
        <v>69</v>
      </c>
      <c r="AF21">
        <v>147.131</v>
      </c>
      <c r="AG21" t="s">
        <v>69</v>
      </c>
      <c r="AH21" t="s">
        <v>69</v>
      </c>
      <c r="AI21">
        <v>30</v>
      </c>
      <c r="AJ21" t="s">
        <v>147</v>
      </c>
      <c r="AK21" t="s">
        <v>153</v>
      </c>
      <c r="AL21" t="s">
        <v>148</v>
      </c>
      <c r="AM21" t="s">
        <v>153</v>
      </c>
      <c r="AN21">
        <v>146.14599999999999</v>
      </c>
      <c r="AO21" t="s">
        <v>153</v>
      </c>
      <c r="AP21" t="s">
        <v>153</v>
      </c>
      <c r="AQ21">
        <v>121</v>
      </c>
      <c r="AR21" t="s">
        <v>72</v>
      </c>
      <c r="AS21" t="s">
        <v>69</v>
      </c>
      <c r="AT21" t="s">
        <v>71</v>
      </c>
      <c r="AU21" t="s">
        <v>69</v>
      </c>
      <c r="AV21">
        <v>131.17500000000001</v>
      </c>
      <c r="AW21" t="s">
        <v>69</v>
      </c>
      <c r="AX21" t="s">
        <v>69</v>
      </c>
      <c r="AY21">
        <v>129</v>
      </c>
      <c r="AZ21" t="s">
        <v>76</v>
      </c>
      <c r="BA21" t="s">
        <v>69</v>
      </c>
      <c r="BB21" t="s">
        <v>75</v>
      </c>
      <c r="BC21" t="s">
        <v>69</v>
      </c>
      <c r="BD21">
        <v>146.18899999999999</v>
      </c>
      <c r="BE21" t="s">
        <v>69</v>
      </c>
      <c r="BF21" t="s">
        <v>69</v>
      </c>
      <c r="BG21">
        <v>131</v>
      </c>
      <c r="BH21" t="s">
        <v>116</v>
      </c>
      <c r="BI21" t="s">
        <v>153</v>
      </c>
      <c r="BJ21" t="s">
        <v>117</v>
      </c>
      <c r="BK21" t="s">
        <v>153</v>
      </c>
      <c r="BL21">
        <v>149.208</v>
      </c>
      <c r="BM21" t="s">
        <v>69</v>
      </c>
      <c r="BN21" t="s">
        <v>69</v>
      </c>
      <c r="BO21">
        <v>132</v>
      </c>
      <c r="BP21" t="s">
        <v>119</v>
      </c>
      <c r="BQ21" t="s">
        <v>69</v>
      </c>
      <c r="BR21" t="s">
        <v>120</v>
      </c>
      <c r="BS21" t="s">
        <v>69</v>
      </c>
      <c r="BT21">
        <v>147.131</v>
      </c>
      <c r="BU21" t="s">
        <v>69</v>
      </c>
      <c r="BV21" t="s">
        <v>69</v>
      </c>
      <c r="BW21">
        <v>151</v>
      </c>
      <c r="BX21" t="s">
        <v>153</v>
      </c>
      <c r="BY21" t="s">
        <v>69</v>
      </c>
      <c r="BZ21" t="s">
        <v>148</v>
      </c>
      <c r="CA21" t="s">
        <v>69</v>
      </c>
      <c r="CB21">
        <v>132.119</v>
      </c>
      <c r="CC21" t="s">
        <v>69</v>
      </c>
      <c r="CD21" t="s">
        <v>69</v>
      </c>
      <c r="CE21">
        <v>152</v>
      </c>
      <c r="CF21" t="s">
        <v>72</v>
      </c>
      <c r="CG21" t="s">
        <v>69</v>
      </c>
      <c r="CH21" t="s">
        <v>71</v>
      </c>
      <c r="CI21" t="s">
        <v>69</v>
      </c>
      <c r="CJ21">
        <v>131.17500000000001</v>
      </c>
      <c r="CK21" t="s">
        <v>69</v>
      </c>
      <c r="CL21" t="s">
        <v>69</v>
      </c>
      <c r="CM21">
        <v>154</v>
      </c>
      <c r="CN21" t="s">
        <v>72</v>
      </c>
      <c r="CO21" t="s">
        <v>69</v>
      </c>
      <c r="CP21" t="s">
        <v>71</v>
      </c>
      <c r="CQ21" t="s">
        <v>69</v>
      </c>
      <c r="CR21">
        <v>131.17500000000001</v>
      </c>
      <c r="CS21" t="s">
        <v>69</v>
      </c>
      <c r="CT21" t="s">
        <v>69</v>
      </c>
    </row>
    <row r="22" spans="1:98" x14ac:dyDescent="0.25">
      <c r="A22">
        <v>7</v>
      </c>
      <c r="B22" t="str">
        <f>HYPERLINK("http://www.ncbi.nlm.nih.gov/protein/XP_003639101.1","XP_003639101.1")</f>
        <v>XP_003639101.1</v>
      </c>
      <c r="C22">
        <v>136357</v>
      </c>
      <c r="D22" t="str">
        <f>HYPERLINK("http://www.ncbi.nlm.nih.gov/Taxonomy/Browser/wwwtax.cgi?mode=Info&amp;id=9615&amp;lvl=3&amp;lin=f&amp;keep=1&amp;srchmode=1&amp;unlock","9615")</f>
        <v>9615</v>
      </c>
      <c r="E22" t="s">
        <v>66</v>
      </c>
      <c r="F22" t="str">
        <f>HYPERLINK("http://www.ncbi.nlm.nih.gov/Taxonomy/Browser/wwwtax.cgi?mode=Info&amp;id=9615&amp;lvl=3&amp;lin=f&amp;keep=1&amp;srchmode=1&amp;unlock","Canis lupus familiaris")</f>
        <v>Canis lupus familiaris</v>
      </c>
      <c r="G22" t="s">
        <v>84</v>
      </c>
      <c r="H22" t="str">
        <f>HYPERLINK("http://www.ncbi.nlm.nih.gov/protein/XP_003639101.1","ubiquitin-like protein ISG15")</f>
        <v>ubiquitin-like protein ISG15</v>
      </c>
      <c r="I22" t="s">
        <v>261</v>
      </c>
      <c r="J22" t="s">
        <v>153</v>
      </c>
      <c r="K22">
        <v>26</v>
      </c>
      <c r="L22" t="s">
        <v>74</v>
      </c>
      <c r="M22" t="s">
        <v>153</v>
      </c>
      <c r="N22" t="s">
        <v>75</v>
      </c>
      <c r="O22" t="s">
        <v>153</v>
      </c>
      <c r="P22">
        <v>174.203</v>
      </c>
      <c r="Q22" t="s">
        <v>153</v>
      </c>
      <c r="R22" t="s">
        <v>153</v>
      </c>
      <c r="S22">
        <v>29</v>
      </c>
      <c r="T22" t="s">
        <v>116</v>
      </c>
      <c r="U22" t="s">
        <v>69</v>
      </c>
      <c r="V22" t="s">
        <v>117</v>
      </c>
      <c r="W22" t="s">
        <v>69</v>
      </c>
      <c r="X22">
        <v>149.208</v>
      </c>
      <c r="Y22" t="s">
        <v>69</v>
      </c>
      <c r="Z22" t="s">
        <v>69</v>
      </c>
      <c r="AA22">
        <v>33</v>
      </c>
      <c r="AB22" t="s">
        <v>119</v>
      </c>
      <c r="AC22" t="s">
        <v>69</v>
      </c>
      <c r="AD22" t="s">
        <v>120</v>
      </c>
      <c r="AE22" t="s">
        <v>69</v>
      </c>
      <c r="AF22">
        <v>147.131</v>
      </c>
      <c r="AG22" t="s">
        <v>69</v>
      </c>
      <c r="AH22" t="s">
        <v>69</v>
      </c>
      <c r="AI22">
        <v>36</v>
      </c>
      <c r="AJ22" t="s">
        <v>147</v>
      </c>
      <c r="AK22" t="s">
        <v>153</v>
      </c>
      <c r="AL22" t="s">
        <v>148</v>
      </c>
      <c r="AM22" t="s">
        <v>153</v>
      </c>
      <c r="AN22">
        <v>146.14599999999999</v>
      </c>
      <c r="AO22" t="s">
        <v>153</v>
      </c>
      <c r="AP22" t="s">
        <v>153</v>
      </c>
      <c r="AQ22">
        <v>127</v>
      </c>
      <c r="AR22" t="s">
        <v>72</v>
      </c>
      <c r="AS22" t="s">
        <v>69</v>
      </c>
      <c r="AT22" t="s">
        <v>71</v>
      </c>
      <c r="AU22" t="s">
        <v>69</v>
      </c>
      <c r="AV22">
        <v>131.17500000000001</v>
      </c>
      <c r="AW22" t="s">
        <v>69</v>
      </c>
      <c r="AX22" t="s">
        <v>69</v>
      </c>
      <c r="AY22">
        <v>135</v>
      </c>
      <c r="AZ22" t="s">
        <v>76</v>
      </c>
      <c r="BA22" t="s">
        <v>69</v>
      </c>
      <c r="BB22" t="s">
        <v>75</v>
      </c>
      <c r="BC22" t="s">
        <v>69</v>
      </c>
      <c r="BD22">
        <v>146.18899999999999</v>
      </c>
      <c r="BE22" t="s">
        <v>69</v>
      </c>
      <c r="BF22" t="s">
        <v>69</v>
      </c>
      <c r="BG22">
        <v>137</v>
      </c>
      <c r="BH22" t="s">
        <v>116</v>
      </c>
      <c r="BI22" t="s">
        <v>153</v>
      </c>
      <c r="BJ22" t="s">
        <v>117</v>
      </c>
      <c r="BK22" t="s">
        <v>153</v>
      </c>
      <c r="BL22">
        <v>149.208</v>
      </c>
      <c r="BM22" t="s">
        <v>69</v>
      </c>
      <c r="BN22" t="s">
        <v>69</v>
      </c>
      <c r="BO22">
        <v>138</v>
      </c>
      <c r="BP22" t="s">
        <v>119</v>
      </c>
      <c r="BQ22" t="s">
        <v>69</v>
      </c>
      <c r="BR22" t="s">
        <v>120</v>
      </c>
      <c r="BS22" t="s">
        <v>69</v>
      </c>
      <c r="BT22">
        <v>147.131</v>
      </c>
      <c r="BU22" t="s">
        <v>69</v>
      </c>
      <c r="BV22" t="s">
        <v>69</v>
      </c>
      <c r="BW22">
        <v>157</v>
      </c>
      <c r="BX22" t="s">
        <v>153</v>
      </c>
      <c r="BY22" t="s">
        <v>69</v>
      </c>
      <c r="BZ22" t="s">
        <v>148</v>
      </c>
      <c r="CA22" t="s">
        <v>69</v>
      </c>
      <c r="CB22">
        <v>132.119</v>
      </c>
      <c r="CC22" t="s">
        <v>69</v>
      </c>
      <c r="CD22" t="s">
        <v>69</v>
      </c>
      <c r="CE22">
        <v>158</v>
      </c>
      <c r="CF22" t="s">
        <v>72</v>
      </c>
      <c r="CG22" t="s">
        <v>69</v>
      </c>
      <c r="CH22" t="s">
        <v>71</v>
      </c>
      <c r="CI22" t="s">
        <v>69</v>
      </c>
      <c r="CJ22">
        <v>131.17500000000001</v>
      </c>
      <c r="CK22" t="s">
        <v>69</v>
      </c>
      <c r="CL22" t="s">
        <v>69</v>
      </c>
      <c r="CM22">
        <v>160</v>
      </c>
      <c r="CN22" t="s">
        <v>72</v>
      </c>
      <c r="CO22" t="s">
        <v>69</v>
      </c>
      <c r="CP22" t="s">
        <v>71</v>
      </c>
      <c r="CQ22" t="s">
        <v>69</v>
      </c>
      <c r="CR22">
        <v>131.17500000000001</v>
      </c>
      <c r="CS22" t="s">
        <v>69</v>
      </c>
      <c r="CT22" t="s">
        <v>69</v>
      </c>
    </row>
    <row r="23" spans="1:98" x14ac:dyDescent="0.25">
      <c r="A23">
        <v>7</v>
      </c>
      <c r="B23" t="str">
        <f>HYPERLINK("http://www.ncbi.nlm.nih.gov/protein/XP_045874331.1","XP_045874331.1")</f>
        <v>XP_045874331.1</v>
      </c>
      <c r="C23">
        <v>50752</v>
      </c>
      <c r="D23" t="str">
        <f>HYPERLINK("http://www.ncbi.nlm.nih.gov/Taxonomy/Browser/wwwtax.cgi?mode=Info&amp;id=9662&amp;lvl=3&amp;lin=f&amp;keep=1&amp;srchmode=1&amp;unlock","9662")</f>
        <v>9662</v>
      </c>
      <c r="E23" t="s">
        <v>66</v>
      </c>
      <c r="F23" t="str">
        <f>HYPERLINK("http://www.ncbi.nlm.nih.gov/Taxonomy/Browser/wwwtax.cgi?mode=Info&amp;id=9662&amp;lvl=3&amp;lin=f&amp;keep=1&amp;srchmode=1&amp;unlock","Meles meles")</f>
        <v>Meles meles</v>
      </c>
      <c r="G23" t="s">
        <v>99</v>
      </c>
      <c r="H23" t="str">
        <f>HYPERLINK("http://www.ncbi.nlm.nih.gov/protein/XP_045874331.1","ubiquitin-like protein ISG15")</f>
        <v>ubiquitin-like protein ISG15</v>
      </c>
      <c r="I23" t="s">
        <v>261</v>
      </c>
      <c r="J23" t="s">
        <v>153</v>
      </c>
      <c r="K23">
        <v>20</v>
      </c>
      <c r="L23" t="s">
        <v>74</v>
      </c>
      <c r="M23" t="s">
        <v>153</v>
      </c>
      <c r="N23" t="s">
        <v>75</v>
      </c>
      <c r="O23" t="s">
        <v>153</v>
      </c>
      <c r="P23">
        <v>174.203</v>
      </c>
      <c r="Q23" t="s">
        <v>153</v>
      </c>
      <c r="R23" t="s">
        <v>153</v>
      </c>
      <c r="S23">
        <v>23</v>
      </c>
      <c r="T23" t="s">
        <v>116</v>
      </c>
      <c r="U23" t="s">
        <v>69</v>
      </c>
      <c r="V23" t="s">
        <v>117</v>
      </c>
      <c r="W23" t="s">
        <v>69</v>
      </c>
      <c r="X23">
        <v>149.208</v>
      </c>
      <c r="Y23" t="s">
        <v>69</v>
      </c>
      <c r="Z23" t="s">
        <v>69</v>
      </c>
      <c r="AA23">
        <v>27</v>
      </c>
      <c r="AB23" t="s">
        <v>119</v>
      </c>
      <c r="AC23" t="s">
        <v>69</v>
      </c>
      <c r="AD23" t="s">
        <v>120</v>
      </c>
      <c r="AE23" t="s">
        <v>69</v>
      </c>
      <c r="AF23">
        <v>147.131</v>
      </c>
      <c r="AG23" t="s">
        <v>69</v>
      </c>
      <c r="AH23" t="s">
        <v>69</v>
      </c>
      <c r="AI23">
        <v>30</v>
      </c>
      <c r="AJ23" t="s">
        <v>147</v>
      </c>
      <c r="AK23" t="s">
        <v>153</v>
      </c>
      <c r="AL23" t="s">
        <v>148</v>
      </c>
      <c r="AM23" t="s">
        <v>153</v>
      </c>
      <c r="AN23">
        <v>146.14599999999999</v>
      </c>
      <c r="AO23" t="s">
        <v>153</v>
      </c>
      <c r="AP23" t="s">
        <v>153</v>
      </c>
      <c r="AQ23">
        <v>121</v>
      </c>
      <c r="AR23" t="s">
        <v>72</v>
      </c>
      <c r="AS23" t="s">
        <v>69</v>
      </c>
      <c r="AT23" t="s">
        <v>71</v>
      </c>
      <c r="AU23" t="s">
        <v>69</v>
      </c>
      <c r="AV23">
        <v>131.17500000000001</v>
      </c>
      <c r="AW23" t="s">
        <v>69</v>
      </c>
      <c r="AX23" t="s">
        <v>69</v>
      </c>
      <c r="AY23">
        <v>129</v>
      </c>
      <c r="AZ23" t="s">
        <v>76</v>
      </c>
      <c r="BA23" t="s">
        <v>69</v>
      </c>
      <c r="BB23" t="s">
        <v>75</v>
      </c>
      <c r="BC23" t="s">
        <v>69</v>
      </c>
      <c r="BD23">
        <v>146.18899999999999</v>
      </c>
      <c r="BE23" t="s">
        <v>69</v>
      </c>
      <c r="BF23" t="s">
        <v>69</v>
      </c>
      <c r="BG23">
        <v>131</v>
      </c>
      <c r="BH23" t="s">
        <v>116</v>
      </c>
      <c r="BI23" t="s">
        <v>153</v>
      </c>
      <c r="BJ23" t="s">
        <v>117</v>
      </c>
      <c r="BK23" t="s">
        <v>153</v>
      </c>
      <c r="BL23">
        <v>149.208</v>
      </c>
      <c r="BM23" t="s">
        <v>69</v>
      </c>
      <c r="BN23" t="s">
        <v>69</v>
      </c>
      <c r="BO23">
        <v>132</v>
      </c>
      <c r="BP23" t="s">
        <v>156</v>
      </c>
      <c r="BQ23" t="s">
        <v>153</v>
      </c>
      <c r="BR23" t="s">
        <v>120</v>
      </c>
      <c r="BS23" t="s">
        <v>69</v>
      </c>
      <c r="BT23">
        <v>133.10400000000001</v>
      </c>
      <c r="BU23" t="s">
        <v>69</v>
      </c>
      <c r="BV23" t="s">
        <v>69</v>
      </c>
      <c r="BW23">
        <v>151</v>
      </c>
      <c r="BX23" t="s">
        <v>153</v>
      </c>
      <c r="BY23" t="s">
        <v>69</v>
      </c>
      <c r="BZ23" t="s">
        <v>148</v>
      </c>
      <c r="CA23" t="s">
        <v>69</v>
      </c>
      <c r="CB23">
        <v>132.119</v>
      </c>
      <c r="CC23" t="s">
        <v>69</v>
      </c>
      <c r="CD23" t="s">
        <v>69</v>
      </c>
      <c r="CE23">
        <v>152</v>
      </c>
      <c r="CF23" t="s">
        <v>72</v>
      </c>
      <c r="CG23" t="s">
        <v>69</v>
      </c>
      <c r="CH23" t="s">
        <v>71</v>
      </c>
      <c r="CI23" t="s">
        <v>69</v>
      </c>
      <c r="CJ23">
        <v>131.17500000000001</v>
      </c>
      <c r="CK23" t="s">
        <v>69</v>
      </c>
      <c r="CL23" t="s">
        <v>69</v>
      </c>
      <c r="CM23">
        <v>154</v>
      </c>
      <c r="CN23" t="s">
        <v>72</v>
      </c>
      <c r="CO23" t="s">
        <v>69</v>
      </c>
      <c r="CP23" t="s">
        <v>71</v>
      </c>
      <c r="CQ23" t="s">
        <v>69</v>
      </c>
      <c r="CR23">
        <v>131.17500000000001</v>
      </c>
      <c r="CS23" t="s">
        <v>69</v>
      </c>
      <c r="CT23" t="s">
        <v>69</v>
      </c>
    </row>
    <row r="24" spans="1:98" x14ac:dyDescent="0.25">
      <c r="A24">
        <v>7</v>
      </c>
      <c r="B24" t="str">
        <f>HYPERLINK("http://www.ncbi.nlm.nih.gov/protein/XP_025862858.1","XP_025862858.1")</f>
        <v>XP_025862858.1</v>
      </c>
      <c r="C24">
        <v>38435</v>
      </c>
      <c r="D24" t="str">
        <f>HYPERLINK("http://www.ncbi.nlm.nih.gov/Taxonomy/Browser/wwwtax.cgi?mode=Info&amp;id=9627&amp;lvl=3&amp;lin=f&amp;keep=1&amp;srchmode=1&amp;unlock","9627")</f>
        <v>9627</v>
      </c>
      <c r="E24" t="s">
        <v>66</v>
      </c>
      <c r="F24" t="str">
        <f>HYPERLINK("http://www.ncbi.nlm.nih.gov/Taxonomy/Browser/wwwtax.cgi?mode=Info&amp;id=9627&amp;lvl=3&amp;lin=f&amp;keep=1&amp;srchmode=1&amp;unlock","Vulpes vulpes")</f>
        <v>Vulpes vulpes</v>
      </c>
      <c r="G24" t="s">
        <v>95</v>
      </c>
      <c r="H24" t="str">
        <f>HYPERLINK("http://www.ncbi.nlm.nih.gov/protein/XP_025862858.1","ubiquitin-like protein ISG15")</f>
        <v>ubiquitin-like protein ISG15</v>
      </c>
      <c r="I24" t="s">
        <v>261</v>
      </c>
      <c r="J24" t="s">
        <v>153</v>
      </c>
      <c r="K24">
        <v>20</v>
      </c>
      <c r="L24" t="s">
        <v>74</v>
      </c>
      <c r="M24" t="s">
        <v>153</v>
      </c>
      <c r="N24" t="s">
        <v>75</v>
      </c>
      <c r="O24" t="s">
        <v>153</v>
      </c>
      <c r="P24">
        <v>174.203</v>
      </c>
      <c r="Q24" t="s">
        <v>153</v>
      </c>
      <c r="R24" t="s">
        <v>153</v>
      </c>
      <c r="S24">
        <v>23</v>
      </c>
      <c r="T24" t="s">
        <v>116</v>
      </c>
      <c r="U24" t="s">
        <v>69</v>
      </c>
      <c r="V24" t="s">
        <v>117</v>
      </c>
      <c r="W24" t="s">
        <v>69</v>
      </c>
      <c r="X24">
        <v>149.208</v>
      </c>
      <c r="Y24" t="s">
        <v>69</v>
      </c>
      <c r="Z24" t="s">
        <v>69</v>
      </c>
      <c r="AA24">
        <v>27</v>
      </c>
      <c r="AB24" t="s">
        <v>119</v>
      </c>
      <c r="AC24" t="s">
        <v>69</v>
      </c>
      <c r="AD24" t="s">
        <v>120</v>
      </c>
      <c r="AE24" t="s">
        <v>69</v>
      </c>
      <c r="AF24">
        <v>147.131</v>
      </c>
      <c r="AG24" t="s">
        <v>69</v>
      </c>
      <c r="AH24" t="s">
        <v>69</v>
      </c>
      <c r="AI24">
        <v>30</v>
      </c>
      <c r="AJ24" t="s">
        <v>147</v>
      </c>
      <c r="AK24" t="s">
        <v>153</v>
      </c>
      <c r="AL24" t="s">
        <v>148</v>
      </c>
      <c r="AM24" t="s">
        <v>153</v>
      </c>
      <c r="AN24">
        <v>146.14599999999999</v>
      </c>
      <c r="AO24" t="s">
        <v>153</v>
      </c>
      <c r="AP24" t="s">
        <v>153</v>
      </c>
      <c r="AQ24">
        <v>121</v>
      </c>
      <c r="AR24" t="s">
        <v>72</v>
      </c>
      <c r="AS24" t="s">
        <v>69</v>
      </c>
      <c r="AT24" t="s">
        <v>71</v>
      </c>
      <c r="AU24" t="s">
        <v>69</v>
      </c>
      <c r="AV24">
        <v>131.17500000000001</v>
      </c>
      <c r="AW24" t="s">
        <v>69</v>
      </c>
      <c r="AX24" t="s">
        <v>69</v>
      </c>
      <c r="AY24">
        <v>129</v>
      </c>
      <c r="AZ24" t="s">
        <v>76</v>
      </c>
      <c r="BA24" t="s">
        <v>69</v>
      </c>
      <c r="BB24" t="s">
        <v>75</v>
      </c>
      <c r="BC24" t="s">
        <v>69</v>
      </c>
      <c r="BD24">
        <v>146.18899999999999</v>
      </c>
      <c r="BE24" t="s">
        <v>69</v>
      </c>
      <c r="BF24" t="s">
        <v>69</v>
      </c>
      <c r="BG24">
        <v>131</v>
      </c>
      <c r="BH24" t="s">
        <v>116</v>
      </c>
      <c r="BI24" t="s">
        <v>153</v>
      </c>
      <c r="BJ24" t="s">
        <v>117</v>
      </c>
      <c r="BK24" t="s">
        <v>153</v>
      </c>
      <c r="BL24">
        <v>149.208</v>
      </c>
      <c r="BM24" t="s">
        <v>69</v>
      </c>
      <c r="BN24" t="s">
        <v>69</v>
      </c>
      <c r="BO24">
        <v>132</v>
      </c>
      <c r="BP24" t="s">
        <v>119</v>
      </c>
      <c r="BQ24" t="s">
        <v>69</v>
      </c>
      <c r="BR24" t="s">
        <v>120</v>
      </c>
      <c r="BS24" t="s">
        <v>69</v>
      </c>
      <c r="BT24">
        <v>147.131</v>
      </c>
      <c r="BU24" t="s">
        <v>69</v>
      </c>
      <c r="BV24" t="s">
        <v>69</v>
      </c>
      <c r="BW24">
        <v>151</v>
      </c>
      <c r="BX24" t="s">
        <v>153</v>
      </c>
      <c r="BY24" t="s">
        <v>69</v>
      </c>
      <c r="BZ24" t="s">
        <v>148</v>
      </c>
      <c r="CA24" t="s">
        <v>69</v>
      </c>
      <c r="CB24">
        <v>132.119</v>
      </c>
      <c r="CC24" t="s">
        <v>69</v>
      </c>
      <c r="CD24" t="s">
        <v>69</v>
      </c>
      <c r="CE24">
        <v>152</v>
      </c>
      <c r="CF24" t="s">
        <v>72</v>
      </c>
      <c r="CG24" t="s">
        <v>69</v>
      </c>
      <c r="CH24" t="s">
        <v>71</v>
      </c>
      <c r="CI24" t="s">
        <v>69</v>
      </c>
      <c r="CJ24">
        <v>131.17500000000001</v>
      </c>
      <c r="CK24" t="s">
        <v>69</v>
      </c>
      <c r="CL24" t="s">
        <v>69</v>
      </c>
      <c r="CM24">
        <v>154</v>
      </c>
      <c r="CN24" t="s">
        <v>72</v>
      </c>
      <c r="CO24" t="s">
        <v>69</v>
      </c>
      <c r="CP24" t="s">
        <v>71</v>
      </c>
      <c r="CQ24" t="s">
        <v>69</v>
      </c>
      <c r="CR24">
        <v>131.17500000000001</v>
      </c>
      <c r="CS24" t="s">
        <v>69</v>
      </c>
      <c r="CT24" t="s">
        <v>69</v>
      </c>
    </row>
    <row r="25" spans="1:98" x14ac:dyDescent="0.25">
      <c r="A25">
        <v>7</v>
      </c>
      <c r="B25" t="str">
        <f>HYPERLINK("http://www.ncbi.nlm.nih.gov/protein/MBZ3882453.1","MBZ3882453.1")</f>
        <v>MBZ3882453.1</v>
      </c>
      <c r="C25">
        <v>74939</v>
      </c>
      <c r="D25" t="str">
        <f>HYPERLINK("http://www.ncbi.nlm.nih.gov/Taxonomy/Browser/wwwtax.cgi?mode=Info&amp;id=30640&amp;lvl=3&amp;lin=f&amp;keep=1&amp;srchmode=1&amp;unlock","30640")</f>
        <v>30640</v>
      </c>
      <c r="E25" t="s">
        <v>66</v>
      </c>
      <c r="F25" t="str">
        <f>HYPERLINK("http://www.ncbi.nlm.nih.gov/Taxonomy/Browser/wwwtax.cgi?mode=Info&amp;id=30640&amp;lvl=3&amp;lin=f&amp;keep=1&amp;srchmode=1&amp;unlock","Neosciurus carolinensis")</f>
        <v>Neosciurus carolinensis</v>
      </c>
      <c r="G25" t="s">
        <v>101</v>
      </c>
      <c r="H25" t="str">
        <f>HYPERLINK("http://www.ncbi.nlm.nih.gov/protein/MBZ3882453.1","Ubiquitin-like protein ISG15")</f>
        <v>Ubiquitin-like protein ISG15</v>
      </c>
      <c r="I25" t="s">
        <v>261</v>
      </c>
      <c r="J25" t="s">
        <v>153</v>
      </c>
      <c r="K25">
        <v>20</v>
      </c>
      <c r="L25" t="s">
        <v>155</v>
      </c>
      <c r="M25" t="s">
        <v>69</v>
      </c>
      <c r="N25" t="s">
        <v>150</v>
      </c>
      <c r="O25" t="s">
        <v>69</v>
      </c>
      <c r="P25">
        <v>105.093</v>
      </c>
      <c r="Q25" t="s">
        <v>69</v>
      </c>
      <c r="R25" t="s">
        <v>69</v>
      </c>
      <c r="S25">
        <v>23</v>
      </c>
      <c r="T25" t="s">
        <v>116</v>
      </c>
      <c r="U25" t="s">
        <v>69</v>
      </c>
      <c r="V25" t="s">
        <v>117</v>
      </c>
      <c r="W25" t="s">
        <v>69</v>
      </c>
      <c r="X25">
        <v>149.208</v>
      </c>
      <c r="Y25" t="s">
        <v>69</v>
      </c>
      <c r="Z25" t="s">
        <v>69</v>
      </c>
      <c r="AA25">
        <v>27</v>
      </c>
      <c r="AB25" t="s">
        <v>119</v>
      </c>
      <c r="AC25" t="s">
        <v>69</v>
      </c>
      <c r="AD25" t="s">
        <v>120</v>
      </c>
      <c r="AE25" t="s">
        <v>69</v>
      </c>
      <c r="AF25">
        <v>147.131</v>
      </c>
      <c r="AG25" t="s">
        <v>69</v>
      </c>
      <c r="AH25" t="s">
        <v>69</v>
      </c>
      <c r="AI25">
        <v>30</v>
      </c>
      <c r="AJ25" t="s">
        <v>147</v>
      </c>
      <c r="AK25" t="s">
        <v>153</v>
      </c>
      <c r="AL25" t="s">
        <v>148</v>
      </c>
      <c r="AM25" t="s">
        <v>153</v>
      </c>
      <c r="AN25">
        <v>146.14599999999999</v>
      </c>
      <c r="AO25" t="s">
        <v>153</v>
      </c>
      <c r="AP25" t="s">
        <v>153</v>
      </c>
      <c r="AQ25">
        <v>120</v>
      </c>
      <c r="AR25" t="s">
        <v>116</v>
      </c>
      <c r="AS25" t="s">
        <v>153</v>
      </c>
      <c r="AT25" t="s">
        <v>117</v>
      </c>
      <c r="AU25" t="s">
        <v>153</v>
      </c>
      <c r="AV25">
        <v>149.208</v>
      </c>
      <c r="AW25" t="s">
        <v>69</v>
      </c>
      <c r="AX25" t="s">
        <v>69</v>
      </c>
      <c r="AY25">
        <v>128</v>
      </c>
      <c r="AZ25" t="s">
        <v>74</v>
      </c>
      <c r="BA25" t="s">
        <v>153</v>
      </c>
      <c r="BB25" t="s">
        <v>75</v>
      </c>
      <c r="BC25" t="s">
        <v>69</v>
      </c>
      <c r="BD25">
        <v>174.203</v>
      </c>
      <c r="BE25" t="s">
        <v>69</v>
      </c>
      <c r="BF25" t="s">
        <v>69</v>
      </c>
      <c r="BG25">
        <v>130</v>
      </c>
      <c r="BH25" t="s">
        <v>116</v>
      </c>
      <c r="BI25" t="s">
        <v>153</v>
      </c>
      <c r="BJ25" t="s">
        <v>117</v>
      </c>
      <c r="BK25" t="s">
        <v>153</v>
      </c>
      <c r="BL25">
        <v>149.208</v>
      </c>
      <c r="BM25" t="s">
        <v>69</v>
      </c>
      <c r="BN25" t="s">
        <v>69</v>
      </c>
      <c r="BO25">
        <v>131</v>
      </c>
      <c r="BP25" t="s">
        <v>119</v>
      </c>
      <c r="BQ25" t="s">
        <v>69</v>
      </c>
      <c r="BR25" t="s">
        <v>120</v>
      </c>
      <c r="BS25" t="s">
        <v>69</v>
      </c>
      <c r="BT25">
        <v>147.131</v>
      </c>
      <c r="BU25" t="s">
        <v>69</v>
      </c>
      <c r="BV25" t="s">
        <v>69</v>
      </c>
      <c r="BW25">
        <v>150</v>
      </c>
      <c r="BX25" t="s">
        <v>153</v>
      </c>
      <c r="BY25" t="s">
        <v>69</v>
      </c>
      <c r="BZ25" t="s">
        <v>148</v>
      </c>
      <c r="CA25" t="s">
        <v>69</v>
      </c>
      <c r="CB25">
        <v>132.119</v>
      </c>
      <c r="CC25" t="s">
        <v>69</v>
      </c>
      <c r="CD25" t="s">
        <v>69</v>
      </c>
      <c r="CE25">
        <v>151</v>
      </c>
      <c r="CF25" t="s">
        <v>72</v>
      </c>
      <c r="CG25" t="s">
        <v>69</v>
      </c>
      <c r="CH25" t="s">
        <v>71</v>
      </c>
      <c r="CI25" t="s">
        <v>69</v>
      </c>
      <c r="CJ25">
        <v>131.17500000000001</v>
      </c>
      <c r="CK25" t="s">
        <v>69</v>
      </c>
      <c r="CL25" t="s">
        <v>69</v>
      </c>
      <c r="CM25">
        <v>153</v>
      </c>
      <c r="CN25" t="s">
        <v>72</v>
      </c>
      <c r="CO25" t="s">
        <v>69</v>
      </c>
      <c r="CP25" t="s">
        <v>71</v>
      </c>
      <c r="CQ25" t="s">
        <v>69</v>
      </c>
      <c r="CR25">
        <v>131.17500000000001</v>
      </c>
      <c r="CS25" t="s">
        <v>69</v>
      </c>
      <c r="CT25" t="s">
        <v>69</v>
      </c>
    </row>
    <row r="26" spans="1:98" x14ac:dyDescent="0.25">
      <c r="A26">
        <v>7</v>
      </c>
      <c r="B26" t="str">
        <f>HYPERLINK("http://www.ncbi.nlm.nih.gov/protein/NP_056598.2","NP_056598.2")</f>
        <v>NP_056598.2</v>
      </c>
      <c r="C26">
        <v>337449</v>
      </c>
      <c r="D26" t="str">
        <f>HYPERLINK("http://www.ncbi.nlm.nih.gov/Taxonomy/Browser/wwwtax.cgi?mode=Info&amp;id=10090&amp;lvl=3&amp;lin=f&amp;keep=1&amp;srchmode=1&amp;unlock","10090")</f>
        <v>10090</v>
      </c>
      <c r="E26" t="s">
        <v>66</v>
      </c>
      <c r="F26" t="str">
        <f>HYPERLINK("http://www.ncbi.nlm.nih.gov/Taxonomy/Browser/wwwtax.cgi?mode=Info&amp;id=10090&amp;lvl=3&amp;lin=f&amp;keep=1&amp;srchmode=1&amp;unlock","Mus musculus")</f>
        <v>Mus musculus</v>
      </c>
      <c r="G26" t="s">
        <v>104</v>
      </c>
      <c r="H26" t="str">
        <f>HYPERLINK("http://www.ncbi.nlm.nih.gov/protein/NP_056598.2","ubiquitin-like protein ISG15")</f>
        <v>ubiquitin-like protein ISG15</v>
      </c>
      <c r="I26" t="s">
        <v>261</v>
      </c>
      <c r="J26" t="s">
        <v>153</v>
      </c>
      <c r="K26">
        <v>20</v>
      </c>
      <c r="L26" t="s">
        <v>149</v>
      </c>
      <c r="M26" t="s">
        <v>153</v>
      </c>
      <c r="N26" t="s">
        <v>150</v>
      </c>
      <c r="O26" t="s">
        <v>69</v>
      </c>
      <c r="P26">
        <v>119.119</v>
      </c>
      <c r="Q26" t="s">
        <v>69</v>
      </c>
      <c r="R26" t="s">
        <v>69</v>
      </c>
      <c r="S26">
        <v>23</v>
      </c>
      <c r="T26" t="s">
        <v>116</v>
      </c>
      <c r="U26" t="s">
        <v>69</v>
      </c>
      <c r="V26" t="s">
        <v>117</v>
      </c>
      <c r="W26" t="s">
        <v>69</v>
      </c>
      <c r="X26">
        <v>149.208</v>
      </c>
      <c r="Y26" t="s">
        <v>69</v>
      </c>
      <c r="Z26" t="s">
        <v>69</v>
      </c>
      <c r="AA26">
        <v>27</v>
      </c>
      <c r="AB26" t="s">
        <v>119</v>
      </c>
      <c r="AC26" t="s">
        <v>69</v>
      </c>
      <c r="AD26" t="s">
        <v>120</v>
      </c>
      <c r="AE26" t="s">
        <v>69</v>
      </c>
      <c r="AF26">
        <v>147.131</v>
      </c>
      <c r="AG26" t="s">
        <v>69</v>
      </c>
      <c r="AH26" t="s">
        <v>69</v>
      </c>
      <c r="AI26">
        <v>30</v>
      </c>
      <c r="AJ26" t="s">
        <v>76</v>
      </c>
      <c r="AK26" t="s">
        <v>153</v>
      </c>
      <c r="AL26" t="s">
        <v>75</v>
      </c>
      <c r="AM26" t="s">
        <v>153</v>
      </c>
      <c r="AN26">
        <v>146.18899999999999</v>
      </c>
      <c r="AO26" t="s">
        <v>153</v>
      </c>
      <c r="AP26" t="s">
        <v>153</v>
      </c>
      <c r="AQ26">
        <v>119</v>
      </c>
      <c r="AR26" t="s">
        <v>147</v>
      </c>
      <c r="AS26" t="s">
        <v>153</v>
      </c>
      <c r="AT26" t="s">
        <v>148</v>
      </c>
      <c r="AU26" t="s">
        <v>153</v>
      </c>
      <c r="AV26">
        <v>146.14599999999999</v>
      </c>
      <c r="AW26" t="s">
        <v>69</v>
      </c>
      <c r="AX26" t="s">
        <v>69</v>
      </c>
      <c r="AY26">
        <v>127</v>
      </c>
      <c r="AZ26" t="s">
        <v>74</v>
      </c>
      <c r="BA26" t="s">
        <v>153</v>
      </c>
      <c r="BB26" t="s">
        <v>75</v>
      </c>
      <c r="BC26" t="s">
        <v>69</v>
      </c>
      <c r="BD26">
        <v>174.203</v>
      </c>
      <c r="BE26" t="s">
        <v>69</v>
      </c>
      <c r="BF26" t="s">
        <v>69</v>
      </c>
      <c r="BG26">
        <v>129</v>
      </c>
      <c r="BH26" t="s">
        <v>116</v>
      </c>
      <c r="BI26" t="s">
        <v>153</v>
      </c>
      <c r="BJ26" t="s">
        <v>117</v>
      </c>
      <c r="BK26" t="s">
        <v>153</v>
      </c>
      <c r="BL26">
        <v>149.208</v>
      </c>
      <c r="BM26" t="s">
        <v>69</v>
      </c>
      <c r="BN26" t="s">
        <v>69</v>
      </c>
      <c r="BO26">
        <v>130</v>
      </c>
      <c r="BP26" t="s">
        <v>119</v>
      </c>
      <c r="BQ26" t="s">
        <v>69</v>
      </c>
      <c r="BR26" t="s">
        <v>120</v>
      </c>
      <c r="BS26" t="s">
        <v>69</v>
      </c>
      <c r="BT26">
        <v>147.131</v>
      </c>
      <c r="BU26" t="s">
        <v>69</v>
      </c>
      <c r="BV26" t="s">
        <v>69</v>
      </c>
      <c r="BW26">
        <v>149</v>
      </c>
      <c r="BX26" t="s">
        <v>157</v>
      </c>
      <c r="BY26" t="s">
        <v>153</v>
      </c>
      <c r="BZ26" t="s">
        <v>75</v>
      </c>
      <c r="CA26" t="s">
        <v>153</v>
      </c>
      <c r="CB26">
        <v>155.15600000000001</v>
      </c>
      <c r="CC26" t="s">
        <v>69</v>
      </c>
      <c r="CD26" t="s">
        <v>69</v>
      </c>
      <c r="CE26">
        <v>150</v>
      </c>
      <c r="CF26" t="s">
        <v>72</v>
      </c>
      <c r="CG26" t="s">
        <v>69</v>
      </c>
      <c r="CH26" t="s">
        <v>71</v>
      </c>
      <c r="CI26" t="s">
        <v>69</v>
      </c>
      <c r="CJ26">
        <v>131.17500000000001</v>
      </c>
      <c r="CK26" t="s">
        <v>69</v>
      </c>
      <c r="CL26" t="s">
        <v>69</v>
      </c>
      <c r="CM26">
        <v>152</v>
      </c>
      <c r="CN26" t="s">
        <v>72</v>
      </c>
      <c r="CO26" t="s">
        <v>69</v>
      </c>
      <c r="CP26" t="s">
        <v>71</v>
      </c>
      <c r="CQ26" t="s">
        <v>69</v>
      </c>
      <c r="CR26">
        <v>131.17500000000001</v>
      </c>
      <c r="CS26" t="s">
        <v>69</v>
      </c>
      <c r="CT26" t="s">
        <v>69</v>
      </c>
    </row>
    <row r="27" spans="1:98" x14ac:dyDescent="0.25">
      <c r="A27">
        <v>7</v>
      </c>
      <c r="B27" t="str">
        <f>HYPERLINK("http://www.ncbi.nlm.nih.gov/protein/NP_001100170.1","NP_001100170.1")</f>
        <v>NP_001100170.1</v>
      </c>
      <c r="C27">
        <v>158159</v>
      </c>
      <c r="D27" t="str">
        <f>HYPERLINK("http://www.ncbi.nlm.nih.gov/Taxonomy/Browser/wwwtax.cgi?mode=Info&amp;id=10116&amp;lvl=3&amp;lin=f&amp;keep=1&amp;srchmode=1&amp;unlock","10116")</f>
        <v>10116</v>
      </c>
      <c r="E27" t="s">
        <v>66</v>
      </c>
      <c r="F27" t="str">
        <f>HYPERLINK("http://www.ncbi.nlm.nih.gov/Taxonomy/Browser/wwwtax.cgi?mode=Info&amp;id=10116&amp;lvl=3&amp;lin=f&amp;keep=1&amp;srchmode=1&amp;unlock","Rattus norvegicus")</f>
        <v>Rattus norvegicus</v>
      </c>
      <c r="G27" t="s">
        <v>102</v>
      </c>
      <c r="H27" t="str">
        <f>HYPERLINK("http://www.ncbi.nlm.nih.gov/protein/NP_001100170.1","ubiquitin-like protein ISG15")</f>
        <v>ubiquitin-like protein ISG15</v>
      </c>
      <c r="I27" t="s">
        <v>261</v>
      </c>
      <c r="J27" t="s">
        <v>153</v>
      </c>
      <c r="K27">
        <v>20</v>
      </c>
      <c r="L27" t="s">
        <v>149</v>
      </c>
      <c r="M27" t="s">
        <v>153</v>
      </c>
      <c r="N27" t="s">
        <v>150</v>
      </c>
      <c r="O27" t="s">
        <v>69</v>
      </c>
      <c r="P27">
        <v>119.119</v>
      </c>
      <c r="Q27" t="s">
        <v>69</v>
      </c>
      <c r="R27" t="s">
        <v>69</v>
      </c>
      <c r="S27">
        <v>23</v>
      </c>
      <c r="T27" t="s">
        <v>116</v>
      </c>
      <c r="U27" t="s">
        <v>69</v>
      </c>
      <c r="V27" t="s">
        <v>117</v>
      </c>
      <c r="W27" t="s">
        <v>69</v>
      </c>
      <c r="X27">
        <v>149.208</v>
      </c>
      <c r="Y27" t="s">
        <v>69</v>
      </c>
      <c r="Z27" t="s">
        <v>69</v>
      </c>
      <c r="AA27">
        <v>27</v>
      </c>
      <c r="AB27" t="s">
        <v>119</v>
      </c>
      <c r="AC27" t="s">
        <v>69</v>
      </c>
      <c r="AD27" t="s">
        <v>120</v>
      </c>
      <c r="AE27" t="s">
        <v>69</v>
      </c>
      <c r="AF27">
        <v>147.131</v>
      </c>
      <c r="AG27" t="s">
        <v>69</v>
      </c>
      <c r="AH27" t="s">
        <v>69</v>
      </c>
      <c r="AI27">
        <v>30</v>
      </c>
      <c r="AJ27" t="s">
        <v>76</v>
      </c>
      <c r="AK27" t="s">
        <v>153</v>
      </c>
      <c r="AL27" t="s">
        <v>75</v>
      </c>
      <c r="AM27" t="s">
        <v>153</v>
      </c>
      <c r="AN27">
        <v>146.18899999999999</v>
      </c>
      <c r="AO27" t="s">
        <v>153</v>
      </c>
      <c r="AP27" t="s">
        <v>153</v>
      </c>
      <c r="AQ27">
        <v>120</v>
      </c>
      <c r="AR27" t="s">
        <v>147</v>
      </c>
      <c r="AS27" t="s">
        <v>153</v>
      </c>
      <c r="AT27" t="s">
        <v>148</v>
      </c>
      <c r="AU27" t="s">
        <v>153</v>
      </c>
      <c r="AV27">
        <v>146.14599999999999</v>
      </c>
      <c r="AW27" t="s">
        <v>69</v>
      </c>
      <c r="AX27" t="s">
        <v>69</v>
      </c>
      <c r="AY27">
        <v>128</v>
      </c>
      <c r="AZ27" t="s">
        <v>74</v>
      </c>
      <c r="BA27" t="s">
        <v>153</v>
      </c>
      <c r="BB27" t="s">
        <v>75</v>
      </c>
      <c r="BC27" t="s">
        <v>69</v>
      </c>
      <c r="BD27">
        <v>174.203</v>
      </c>
      <c r="BE27" t="s">
        <v>69</v>
      </c>
      <c r="BF27" t="s">
        <v>69</v>
      </c>
      <c r="BG27">
        <v>130</v>
      </c>
      <c r="BH27" t="s">
        <v>116</v>
      </c>
      <c r="BI27" t="s">
        <v>153</v>
      </c>
      <c r="BJ27" t="s">
        <v>117</v>
      </c>
      <c r="BK27" t="s">
        <v>153</v>
      </c>
      <c r="BL27">
        <v>149.208</v>
      </c>
      <c r="BM27" t="s">
        <v>69</v>
      </c>
      <c r="BN27" t="s">
        <v>69</v>
      </c>
      <c r="BO27">
        <v>131</v>
      </c>
      <c r="BP27" t="s">
        <v>119</v>
      </c>
      <c r="BQ27" t="s">
        <v>69</v>
      </c>
      <c r="BR27" t="s">
        <v>120</v>
      </c>
      <c r="BS27" t="s">
        <v>69</v>
      </c>
      <c r="BT27">
        <v>147.131</v>
      </c>
      <c r="BU27" t="s">
        <v>69</v>
      </c>
      <c r="BV27" t="s">
        <v>69</v>
      </c>
      <c r="BW27">
        <v>150</v>
      </c>
      <c r="BX27" t="s">
        <v>153</v>
      </c>
      <c r="BY27" t="s">
        <v>69</v>
      </c>
      <c r="BZ27" t="s">
        <v>148</v>
      </c>
      <c r="CA27" t="s">
        <v>69</v>
      </c>
      <c r="CB27">
        <v>132.119</v>
      </c>
      <c r="CC27" t="s">
        <v>69</v>
      </c>
      <c r="CD27" t="s">
        <v>69</v>
      </c>
      <c r="CE27">
        <v>151</v>
      </c>
      <c r="CF27" t="s">
        <v>72</v>
      </c>
      <c r="CG27" t="s">
        <v>69</v>
      </c>
      <c r="CH27" t="s">
        <v>71</v>
      </c>
      <c r="CI27" t="s">
        <v>69</v>
      </c>
      <c r="CJ27">
        <v>131.17500000000001</v>
      </c>
      <c r="CK27" t="s">
        <v>69</v>
      </c>
      <c r="CL27" t="s">
        <v>69</v>
      </c>
      <c r="CM27">
        <v>153</v>
      </c>
      <c r="CN27" t="s">
        <v>72</v>
      </c>
      <c r="CO27" t="s">
        <v>69</v>
      </c>
      <c r="CP27" t="s">
        <v>71</v>
      </c>
      <c r="CQ27" t="s">
        <v>69</v>
      </c>
      <c r="CR27">
        <v>131.17500000000001</v>
      </c>
      <c r="CS27" t="s">
        <v>69</v>
      </c>
      <c r="CT27" t="s">
        <v>69</v>
      </c>
    </row>
    <row r="28" spans="1:98" x14ac:dyDescent="0.25">
      <c r="A28">
        <v>7</v>
      </c>
      <c r="B28" t="str">
        <f>HYPERLINK("http://www.ncbi.nlm.nih.gov/protein/XP_006992396.1","XP_006992396.1")</f>
        <v>XP_006992396.1</v>
      </c>
      <c r="C28">
        <v>54287</v>
      </c>
      <c r="D28" t="str">
        <f>HYPERLINK("http://www.ncbi.nlm.nih.gov/Taxonomy/Browser/wwwtax.cgi?mode=Info&amp;id=230844&amp;lvl=3&amp;lin=f&amp;keep=1&amp;srchmode=1&amp;unlock","230844")</f>
        <v>230844</v>
      </c>
      <c r="E28" t="s">
        <v>66</v>
      </c>
      <c r="F28" t="str">
        <f>HYPERLINK("http://www.ncbi.nlm.nih.gov/Taxonomy/Browser/wwwtax.cgi?mode=Info&amp;id=230844&amp;lvl=3&amp;lin=f&amp;keep=1&amp;srchmode=1&amp;unlock","Peromyscus maniculatus bairdii")</f>
        <v>Peromyscus maniculatus bairdii</v>
      </c>
      <c r="G28" t="s">
        <v>88</v>
      </c>
      <c r="H28" t="str">
        <f>HYPERLINK("http://www.ncbi.nlm.nih.gov/protein/XP_006992396.1","ubiquitin-like protein ISG15")</f>
        <v>ubiquitin-like protein ISG15</v>
      </c>
      <c r="I28" t="s">
        <v>261</v>
      </c>
      <c r="J28" t="s">
        <v>153</v>
      </c>
      <c r="K28">
        <v>20</v>
      </c>
      <c r="L28" t="s">
        <v>149</v>
      </c>
      <c r="M28" t="s">
        <v>153</v>
      </c>
      <c r="N28" t="s">
        <v>150</v>
      </c>
      <c r="O28" t="s">
        <v>69</v>
      </c>
      <c r="P28">
        <v>119.119</v>
      </c>
      <c r="Q28" t="s">
        <v>69</v>
      </c>
      <c r="R28" t="s">
        <v>69</v>
      </c>
      <c r="S28">
        <v>23</v>
      </c>
      <c r="T28" t="s">
        <v>116</v>
      </c>
      <c r="U28" t="s">
        <v>69</v>
      </c>
      <c r="V28" t="s">
        <v>117</v>
      </c>
      <c r="W28" t="s">
        <v>69</v>
      </c>
      <c r="X28">
        <v>149.208</v>
      </c>
      <c r="Y28" t="s">
        <v>69</v>
      </c>
      <c r="Z28" t="s">
        <v>69</v>
      </c>
      <c r="AA28">
        <v>27</v>
      </c>
      <c r="AB28" t="s">
        <v>119</v>
      </c>
      <c r="AC28" t="s">
        <v>69</v>
      </c>
      <c r="AD28" t="s">
        <v>120</v>
      </c>
      <c r="AE28" t="s">
        <v>69</v>
      </c>
      <c r="AF28">
        <v>147.131</v>
      </c>
      <c r="AG28" t="s">
        <v>69</v>
      </c>
      <c r="AH28" t="s">
        <v>69</v>
      </c>
      <c r="AI28">
        <v>30</v>
      </c>
      <c r="AJ28" t="s">
        <v>74</v>
      </c>
      <c r="AK28" t="s">
        <v>153</v>
      </c>
      <c r="AL28" t="s">
        <v>75</v>
      </c>
      <c r="AM28" t="s">
        <v>153</v>
      </c>
      <c r="AN28">
        <v>174.203</v>
      </c>
      <c r="AO28" t="s">
        <v>153</v>
      </c>
      <c r="AP28" t="s">
        <v>153</v>
      </c>
      <c r="AQ28">
        <v>120</v>
      </c>
      <c r="AR28" t="s">
        <v>147</v>
      </c>
      <c r="AS28" t="s">
        <v>153</v>
      </c>
      <c r="AT28" t="s">
        <v>148</v>
      </c>
      <c r="AU28" t="s">
        <v>153</v>
      </c>
      <c r="AV28">
        <v>146.14599999999999</v>
      </c>
      <c r="AW28" t="s">
        <v>69</v>
      </c>
      <c r="AX28" t="s">
        <v>69</v>
      </c>
      <c r="AY28">
        <v>128</v>
      </c>
      <c r="AZ28" t="s">
        <v>74</v>
      </c>
      <c r="BA28" t="s">
        <v>153</v>
      </c>
      <c r="BB28" t="s">
        <v>75</v>
      </c>
      <c r="BC28" t="s">
        <v>69</v>
      </c>
      <c r="BD28">
        <v>174.203</v>
      </c>
      <c r="BE28" t="s">
        <v>69</v>
      </c>
      <c r="BF28" t="s">
        <v>69</v>
      </c>
      <c r="BG28">
        <v>130</v>
      </c>
      <c r="BH28" t="s">
        <v>116</v>
      </c>
      <c r="BI28" t="s">
        <v>153</v>
      </c>
      <c r="BJ28" t="s">
        <v>117</v>
      </c>
      <c r="BK28" t="s">
        <v>153</v>
      </c>
      <c r="BL28">
        <v>149.208</v>
      </c>
      <c r="BM28" t="s">
        <v>69</v>
      </c>
      <c r="BN28" t="s">
        <v>69</v>
      </c>
      <c r="BO28">
        <v>131</v>
      </c>
      <c r="BP28" t="s">
        <v>119</v>
      </c>
      <c r="BQ28" t="s">
        <v>69</v>
      </c>
      <c r="BR28" t="s">
        <v>120</v>
      </c>
      <c r="BS28" t="s">
        <v>69</v>
      </c>
      <c r="BT28">
        <v>147.131</v>
      </c>
      <c r="BU28" t="s">
        <v>69</v>
      </c>
      <c r="BV28" t="s">
        <v>69</v>
      </c>
      <c r="BW28">
        <v>150</v>
      </c>
      <c r="BX28" t="s">
        <v>153</v>
      </c>
      <c r="BY28" t="s">
        <v>69</v>
      </c>
      <c r="BZ28" t="s">
        <v>148</v>
      </c>
      <c r="CA28" t="s">
        <v>69</v>
      </c>
      <c r="CB28">
        <v>132.119</v>
      </c>
      <c r="CC28" t="s">
        <v>69</v>
      </c>
      <c r="CD28" t="s">
        <v>69</v>
      </c>
      <c r="CE28">
        <v>151</v>
      </c>
      <c r="CF28" t="s">
        <v>72</v>
      </c>
      <c r="CG28" t="s">
        <v>69</v>
      </c>
      <c r="CH28" t="s">
        <v>71</v>
      </c>
      <c r="CI28" t="s">
        <v>69</v>
      </c>
      <c r="CJ28">
        <v>131.17500000000001</v>
      </c>
      <c r="CK28" t="s">
        <v>69</v>
      </c>
      <c r="CL28" t="s">
        <v>69</v>
      </c>
      <c r="CM28">
        <v>153</v>
      </c>
      <c r="CN28" t="s">
        <v>72</v>
      </c>
      <c r="CO28" t="s">
        <v>69</v>
      </c>
      <c r="CP28" t="s">
        <v>71</v>
      </c>
      <c r="CQ28" t="s">
        <v>69</v>
      </c>
      <c r="CR28">
        <v>131.17500000000001</v>
      </c>
      <c r="CS28" t="s">
        <v>69</v>
      </c>
      <c r="CT28" t="s">
        <v>69</v>
      </c>
    </row>
    <row r="29" spans="1:98" x14ac:dyDescent="0.25">
      <c r="A29">
        <v>7</v>
      </c>
      <c r="B29" t="str">
        <f>HYPERLINK("http://www.ncbi.nlm.nih.gov/protein/XP_020729403.1","XP_020729403.1")</f>
        <v>XP_020729403.1</v>
      </c>
      <c r="C29">
        <v>48218</v>
      </c>
      <c r="D29" t="str">
        <f>HYPERLINK("http://www.ncbi.nlm.nih.gov/Taxonomy/Browser/wwwtax.cgi?mode=Info&amp;id=9880&amp;lvl=3&amp;lin=f&amp;keep=1&amp;srchmode=1&amp;unlock","9880")</f>
        <v>9880</v>
      </c>
      <c r="E29" t="s">
        <v>66</v>
      </c>
      <c r="F29" t="str">
        <f>HYPERLINK("http://www.ncbi.nlm.nih.gov/Taxonomy/Browser/wwwtax.cgi?mode=Info&amp;id=9880&amp;lvl=3&amp;lin=f&amp;keep=1&amp;srchmode=1&amp;unlock","Odocoileus virginianus texanus")</f>
        <v>Odocoileus virginianus texanus</v>
      </c>
      <c r="G29" t="s">
        <v>81</v>
      </c>
      <c r="H29" t="str">
        <f>HYPERLINK("http://www.ncbi.nlm.nih.gov/protein/XP_020729403.1","ubiquitin-like protein ISG15")</f>
        <v>ubiquitin-like protein ISG15</v>
      </c>
      <c r="I29" t="s">
        <v>261</v>
      </c>
      <c r="J29" t="s">
        <v>153</v>
      </c>
      <c r="K29">
        <v>22</v>
      </c>
      <c r="L29" t="s">
        <v>74</v>
      </c>
      <c r="M29" t="s">
        <v>153</v>
      </c>
      <c r="N29" t="s">
        <v>75</v>
      </c>
      <c r="O29" t="s">
        <v>153</v>
      </c>
      <c r="P29">
        <v>174.203</v>
      </c>
      <c r="Q29" t="s">
        <v>153</v>
      </c>
      <c r="R29" t="s">
        <v>153</v>
      </c>
      <c r="S29">
        <v>25</v>
      </c>
      <c r="T29" t="s">
        <v>116</v>
      </c>
      <c r="U29" t="s">
        <v>69</v>
      </c>
      <c r="V29" t="s">
        <v>117</v>
      </c>
      <c r="W29" t="s">
        <v>69</v>
      </c>
      <c r="X29">
        <v>149.208</v>
      </c>
      <c r="Y29" t="s">
        <v>69</v>
      </c>
      <c r="Z29" t="s">
        <v>69</v>
      </c>
      <c r="AA29">
        <v>29</v>
      </c>
      <c r="AB29" t="s">
        <v>119</v>
      </c>
      <c r="AC29" t="s">
        <v>69</v>
      </c>
      <c r="AD29" t="s">
        <v>120</v>
      </c>
      <c r="AE29" t="s">
        <v>69</v>
      </c>
      <c r="AF29">
        <v>147.131</v>
      </c>
      <c r="AG29" t="s">
        <v>69</v>
      </c>
      <c r="AH29" t="s">
        <v>69</v>
      </c>
      <c r="AI29">
        <v>32</v>
      </c>
      <c r="AJ29" t="s">
        <v>147</v>
      </c>
      <c r="AK29" t="s">
        <v>153</v>
      </c>
      <c r="AL29" t="s">
        <v>148</v>
      </c>
      <c r="AM29" t="s">
        <v>153</v>
      </c>
      <c r="AN29">
        <v>146.14599999999999</v>
      </c>
      <c r="AO29" t="s">
        <v>153</v>
      </c>
      <c r="AP29" t="s">
        <v>153</v>
      </c>
      <c r="AQ29">
        <v>123</v>
      </c>
      <c r="AR29" t="s">
        <v>147</v>
      </c>
      <c r="AS29" t="s">
        <v>153</v>
      </c>
      <c r="AT29" t="s">
        <v>148</v>
      </c>
      <c r="AU29" t="s">
        <v>153</v>
      </c>
      <c r="AV29">
        <v>146.14599999999999</v>
      </c>
      <c r="AW29" t="s">
        <v>69</v>
      </c>
      <c r="AX29" t="s">
        <v>69</v>
      </c>
      <c r="AY29">
        <v>131</v>
      </c>
      <c r="AZ29" t="s">
        <v>76</v>
      </c>
      <c r="BA29" t="s">
        <v>69</v>
      </c>
      <c r="BB29" t="s">
        <v>75</v>
      </c>
      <c r="BC29" t="s">
        <v>69</v>
      </c>
      <c r="BD29">
        <v>146.18899999999999</v>
      </c>
      <c r="BE29" t="s">
        <v>69</v>
      </c>
      <c r="BF29" t="s">
        <v>69</v>
      </c>
      <c r="BG29">
        <v>133</v>
      </c>
      <c r="BH29" t="s">
        <v>116</v>
      </c>
      <c r="BI29" t="s">
        <v>153</v>
      </c>
      <c r="BJ29" t="s">
        <v>117</v>
      </c>
      <c r="BK29" t="s">
        <v>153</v>
      </c>
      <c r="BL29">
        <v>149.208</v>
      </c>
      <c r="BM29" t="s">
        <v>69</v>
      </c>
      <c r="BN29" t="s">
        <v>69</v>
      </c>
      <c r="BO29">
        <v>134</v>
      </c>
      <c r="BP29" t="s">
        <v>156</v>
      </c>
      <c r="BQ29" t="s">
        <v>153</v>
      </c>
      <c r="BR29" t="s">
        <v>120</v>
      </c>
      <c r="BS29" t="s">
        <v>69</v>
      </c>
      <c r="BT29">
        <v>133.10400000000001</v>
      </c>
      <c r="BU29" t="s">
        <v>69</v>
      </c>
      <c r="BV29" t="s">
        <v>69</v>
      </c>
      <c r="BW29">
        <v>153</v>
      </c>
      <c r="BX29" t="s">
        <v>153</v>
      </c>
      <c r="BY29" t="s">
        <v>69</v>
      </c>
      <c r="BZ29" t="s">
        <v>148</v>
      </c>
      <c r="CA29" t="s">
        <v>69</v>
      </c>
      <c r="CB29">
        <v>132.119</v>
      </c>
      <c r="CC29" t="s">
        <v>69</v>
      </c>
      <c r="CD29" t="s">
        <v>69</v>
      </c>
      <c r="CE29">
        <v>154</v>
      </c>
      <c r="CF29" t="s">
        <v>72</v>
      </c>
      <c r="CG29" t="s">
        <v>69</v>
      </c>
      <c r="CH29" t="s">
        <v>71</v>
      </c>
      <c r="CI29" t="s">
        <v>69</v>
      </c>
      <c r="CJ29">
        <v>131.17500000000001</v>
      </c>
      <c r="CK29" t="s">
        <v>69</v>
      </c>
      <c r="CL29" t="s">
        <v>69</v>
      </c>
      <c r="CM29">
        <v>156</v>
      </c>
      <c r="CN29" t="s">
        <v>72</v>
      </c>
      <c r="CO29" t="s">
        <v>69</v>
      </c>
      <c r="CP29" t="s">
        <v>71</v>
      </c>
      <c r="CQ29" t="s">
        <v>69</v>
      </c>
      <c r="CR29">
        <v>131.17500000000001</v>
      </c>
      <c r="CS29" t="s">
        <v>69</v>
      </c>
      <c r="CT29" t="s">
        <v>69</v>
      </c>
    </row>
    <row r="30" spans="1:98" x14ac:dyDescent="0.25">
      <c r="A30">
        <v>7</v>
      </c>
      <c r="B30" t="str">
        <f>HYPERLINK("http://www.ncbi.nlm.nih.gov/protein/NP_776791.1","NP_776791.1")</f>
        <v>NP_776791.1</v>
      </c>
      <c r="C30">
        <v>136186</v>
      </c>
      <c r="D30" t="str">
        <f>HYPERLINK("http://www.ncbi.nlm.nih.gov/Taxonomy/Browser/wwwtax.cgi?mode=Info&amp;id=9913&amp;lvl=3&amp;lin=f&amp;keep=1&amp;srchmode=1&amp;unlock","9913")</f>
        <v>9913</v>
      </c>
      <c r="E30" t="s">
        <v>66</v>
      </c>
      <c r="F30" t="str">
        <f>HYPERLINK("http://www.ncbi.nlm.nih.gov/Taxonomy/Browser/wwwtax.cgi?mode=Info&amp;id=9913&amp;lvl=3&amp;lin=f&amp;keep=1&amp;srchmode=1&amp;unlock","Bos taurus")</f>
        <v>Bos taurus</v>
      </c>
      <c r="G30" t="s">
        <v>82</v>
      </c>
      <c r="H30" t="str">
        <f>HYPERLINK("http://www.ncbi.nlm.nih.gov/protein/NP_776791.1","ubiquitin-like protein ISG15")</f>
        <v>ubiquitin-like protein ISG15</v>
      </c>
      <c r="I30" t="s">
        <v>261</v>
      </c>
      <c r="J30" t="s">
        <v>153</v>
      </c>
      <c r="K30">
        <v>20</v>
      </c>
      <c r="L30" t="s">
        <v>74</v>
      </c>
      <c r="M30" t="s">
        <v>153</v>
      </c>
      <c r="N30" t="s">
        <v>75</v>
      </c>
      <c r="O30" t="s">
        <v>153</v>
      </c>
      <c r="P30">
        <v>174.203</v>
      </c>
      <c r="Q30" t="s">
        <v>153</v>
      </c>
      <c r="R30" t="s">
        <v>153</v>
      </c>
      <c r="S30">
        <v>23</v>
      </c>
      <c r="T30" t="s">
        <v>116</v>
      </c>
      <c r="U30" t="s">
        <v>69</v>
      </c>
      <c r="V30" t="s">
        <v>117</v>
      </c>
      <c r="W30" t="s">
        <v>69</v>
      </c>
      <c r="X30">
        <v>149.208</v>
      </c>
      <c r="Y30" t="s">
        <v>69</v>
      </c>
      <c r="Z30" t="s">
        <v>69</v>
      </c>
      <c r="AA30">
        <v>27</v>
      </c>
      <c r="AB30" t="s">
        <v>119</v>
      </c>
      <c r="AC30" t="s">
        <v>69</v>
      </c>
      <c r="AD30" t="s">
        <v>120</v>
      </c>
      <c r="AE30" t="s">
        <v>69</v>
      </c>
      <c r="AF30">
        <v>147.131</v>
      </c>
      <c r="AG30" t="s">
        <v>69</v>
      </c>
      <c r="AH30" t="s">
        <v>69</v>
      </c>
      <c r="AI30">
        <v>30</v>
      </c>
      <c r="AJ30" t="s">
        <v>147</v>
      </c>
      <c r="AK30" t="s">
        <v>153</v>
      </c>
      <c r="AL30" t="s">
        <v>148</v>
      </c>
      <c r="AM30" t="s">
        <v>153</v>
      </c>
      <c r="AN30">
        <v>146.14599999999999</v>
      </c>
      <c r="AO30" t="s">
        <v>153</v>
      </c>
      <c r="AP30" t="s">
        <v>153</v>
      </c>
      <c r="AQ30">
        <v>118</v>
      </c>
      <c r="AR30" t="s">
        <v>147</v>
      </c>
      <c r="AS30" t="s">
        <v>153</v>
      </c>
      <c r="AT30" t="s">
        <v>148</v>
      </c>
      <c r="AU30" t="s">
        <v>153</v>
      </c>
      <c r="AV30">
        <v>146.14599999999999</v>
      </c>
      <c r="AW30" t="s">
        <v>69</v>
      </c>
      <c r="AX30" t="s">
        <v>69</v>
      </c>
      <c r="AY30">
        <v>126</v>
      </c>
      <c r="AZ30" t="s">
        <v>74</v>
      </c>
      <c r="BA30" t="s">
        <v>153</v>
      </c>
      <c r="BB30" t="s">
        <v>75</v>
      </c>
      <c r="BC30" t="s">
        <v>69</v>
      </c>
      <c r="BD30">
        <v>174.203</v>
      </c>
      <c r="BE30" t="s">
        <v>69</v>
      </c>
      <c r="BF30" t="s">
        <v>69</v>
      </c>
      <c r="BG30">
        <v>128</v>
      </c>
      <c r="BH30" t="s">
        <v>116</v>
      </c>
      <c r="BI30" t="s">
        <v>153</v>
      </c>
      <c r="BJ30" t="s">
        <v>117</v>
      </c>
      <c r="BK30" t="s">
        <v>153</v>
      </c>
      <c r="BL30">
        <v>149.208</v>
      </c>
      <c r="BM30" t="s">
        <v>69</v>
      </c>
      <c r="BN30" t="s">
        <v>69</v>
      </c>
      <c r="BO30">
        <v>129</v>
      </c>
      <c r="BP30" t="s">
        <v>156</v>
      </c>
      <c r="BQ30" t="s">
        <v>153</v>
      </c>
      <c r="BR30" t="s">
        <v>120</v>
      </c>
      <c r="BS30" t="s">
        <v>69</v>
      </c>
      <c r="BT30">
        <v>133.10400000000001</v>
      </c>
      <c r="BU30" t="s">
        <v>69</v>
      </c>
      <c r="BV30" t="s">
        <v>69</v>
      </c>
      <c r="BW30">
        <v>148</v>
      </c>
      <c r="BX30" t="s">
        <v>153</v>
      </c>
      <c r="BY30" t="s">
        <v>69</v>
      </c>
      <c r="BZ30" t="s">
        <v>148</v>
      </c>
      <c r="CA30" t="s">
        <v>69</v>
      </c>
      <c r="CB30">
        <v>132.119</v>
      </c>
      <c r="CC30" t="s">
        <v>69</v>
      </c>
      <c r="CD30" t="s">
        <v>69</v>
      </c>
      <c r="CE30">
        <v>149</v>
      </c>
      <c r="CF30" t="s">
        <v>72</v>
      </c>
      <c r="CG30" t="s">
        <v>69</v>
      </c>
      <c r="CH30" t="s">
        <v>71</v>
      </c>
      <c r="CI30" t="s">
        <v>69</v>
      </c>
      <c r="CJ30">
        <v>131.17500000000001</v>
      </c>
      <c r="CK30" t="s">
        <v>69</v>
      </c>
      <c r="CL30" t="s">
        <v>69</v>
      </c>
      <c r="CM30">
        <v>151</v>
      </c>
      <c r="CN30" t="s">
        <v>72</v>
      </c>
      <c r="CO30" t="s">
        <v>69</v>
      </c>
      <c r="CP30" t="s">
        <v>71</v>
      </c>
      <c r="CQ30" t="s">
        <v>69</v>
      </c>
      <c r="CR30">
        <v>131.17500000000001</v>
      </c>
      <c r="CS30" t="s">
        <v>69</v>
      </c>
      <c r="CT30" t="s">
        <v>69</v>
      </c>
    </row>
    <row r="31" spans="1:98" x14ac:dyDescent="0.25">
      <c r="A31">
        <v>7</v>
      </c>
      <c r="B31" t="str">
        <f>HYPERLINK("http://www.ncbi.nlm.nih.gov/protein/XP_015999857.2","XP_015999857.2")</f>
        <v>XP_015999857.2</v>
      </c>
      <c r="C31">
        <v>117142</v>
      </c>
      <c r="D31" t="str">
        <f>HYPERLINK("http://www.ncbi.nlm.nih.gov/Taxonomy/Browser/wwwtax.cgi?mode=Info&amp;id=9407&amp;lvl=3&amp;lin=f&amp;keep=1&amp;srchmode=1&amp;unlock","9407")</f>
        <v>9407</v>
      </c>
      <c r="E31" t="s">
        <v>66</v>
      </c>
      <c r="F31" t="str">
        <f>HYPERLINK("http://www.ncbi.nlm.nih.gov/Taxonomy/Browser/wwwtax.cgi?mode=Info&amp;id=9407&amp;lvl=3&amp;lin=f&amp;keep=1&amp;srchmode=1&amp;unlock","Rousettus aegyptiacus")</f>
        <v>Rousettus aegyptiacus</v>
      </c>
      <c r="G31" t="s">
        <v>103</v>
      </c>
      <c r="H31" t="str">
        <f>HYPERLINK("http://www.ncbi.nlm.nih.gov/protein/XP_015999857.2","ubiquitin-like protein ISG15")</f>
        <v>ubiquitin-like protein ISG15</v>
      </c>
      <c r="I31" t="s">
        <v>261</v>
      </c>
      <c r="J31" t="s">
        <v>153</v>
      </c>
      <c r="K31">
        <v>19</v>
      </c>
      <c r="L31" t="s">
        <v>149</v>
      </c>
      <c r="M31" t="s">
        <v>153</v>
      </c>
      <c r="N31" t="s">
        <v>150</v>
      </c>
      <c r="O31" t="s">
        <v>69</v>
      </c>
      <c r="P31">
        <v>119.119</v>
      </c>
      <c r="Q31" t="s">
        <v>69</v>
      </c>
      <c r="R31" t="s">
        <v>69</v>
      </c>
      <c r="S31">
        <v>22</v>
      </c>
      <c r="T31" t="s">
        <v>116</v>
      </c>
      <c r="U31" t="s">
        <v>69</v>
      </c>
      <c r="V31" t="s">
        <v>117</v>
      </c>
      <c r="W31" t="s">
        <v>69</v>
      </c>
      <c r="X31">
        <v>149.208</v>
      </c>
      <c r="Y31" t="s">
        <v>69</v>
      </c>
      <c r="Z31" t="s">
        <v>69</v>
      </c>
      <c r="AA31">
        <v>26</v>
      </c>
      <c r="AB31" t="s">
        <v>156</v>
      </c>
      <c r="AC31" t="s">
        <v>153</v>
      </c>
      <c r="AD31" t="s">
        <v>120</v>
      </c>
      <c r="AE31" t="s">
        <v>69</v>
      </c>
      <c r="AF31">
        <v>133.10400000000001</v>
      </c>
      <c r="AG31" t="s">
        <v>69</v>
      </c>
      <c r="AH31" t="s">
        <v>69</v>
      </c>
      <c r="AI31">
        <v>29</v>
      </c>
      <c r="AJ31" t="s">
        <v>147</v>
      </c>
      <c r="AK31" t="s">
        <v>153</v>
      </c>
      <c r="AL31" t="s">
        <v>148</v>
      </c>
      <c r="AM31" t="s">
        <v>153</v>
      </c>
      <c r="AN31">
        <v>146.14599999999999</v>
      </c>
      <c r="AO31" t="s">
        <v>153</v>
      </c>
      <c r="AP31" t="s">
        <v>153</v>
      </c>
      <c r="AQ31">
        <v>120</v>
      </c>
      <c r="AR31" t="s">
        <v>147</v>
      </c>
      <c r="AS31" t="s">
        <v>153</v>
      </c>
      <c r="AT31" t="s">
        <v>148</v>
      </c>
      <c r="AU31" t="s">
        <v>153</v>
      </c>
      <c r="AV31">
        <v>146.14599999999999</v>
      </c>
      <c r="AW31" t="s">
        <v>69</v>
      </c>
      <c r="AX31" t="s">
        <v>69</v>
      </c>
      <c r="AY31">
        <v>128</v>
      </c>
      <c r="AZ31" t="s">
        <v>76</v>
      </c>
      <c r="BA31" t="s">
        <v>69</v>
      </c>
      <c r="BB31" t="s">
        <v>75</v>
      </c>
      <c r="BC31" t="s">
        <v>69</v>
      </c>
      <c r="BD31">
        <v>146.18899999999999</v>
      </c>
      <c r="BE31" t="s">
        <v>69</v>
      </c>
      <c r="BF31" t="s">
        <v>69</v>
      </c>
      <c r="BG31">
        <v>130</v>
      </c>
      <c r="BH31" t="s">
        <v>72</v>
      </c>
      <c r="BI31" t="s">
        <v>69</v>
      </c>
      <c r="BJ31" t="s">
        <v>71</v>
      </c>
      <c r="BK31" t="s">
        <v>69</v>
      </c>
      <c r="BL31">
        <v>131.17500000000001</v>
      </c>
      <c r="BM31" t="s">
        <v>69</v>
      </c>
      <c r="BN31" t="s">
        <v>69</v>
      </c>
      <c r="BO31">
        <v>131</v>
      </c>
      <c r="BP31" t="s">
        <v>119</v>
      </c>
      <c r="BQ31" t="s">
        <v>69</v>
      </c>
      <c r="BR31" t="s">
        <v>120</v>
      </c>
      <c r="BS31" t="s">
        <v>69</v>
      </c>
      <c r="BT31">
        <v>147.131</v>
      </c>
      <c r="BU31" t="s">
        <v>69</v>
      </c>
      <c r="BV31" t="s">
        <v>69</v>
      </c>
      <c r="BW31">
        <v>150</v>
      </c>
      <c r="BX31" t="s">
        <v>147</v>
      </c>
      <c r="BY31" t="s">
        <v>153</v>
      </c>
      <c r="BZ31" t="s">
        <v>148</v>
      </c>
      <c r="CA31" t="s">
        <v>69</v>
      </c>
      <c r="CB31">
        <v>146.14599999999999</v>
      </c>
      <c r="CC31" t="s">
        <v>69</v>
      </c>
      <c r="CD31" t="s">
        <v>69</v>
      </c>
      <c r="CE31">
        <v>151</v>
      </c>
      <c r="CF31" t="s">
        <v>72</v>
      </c>
      <c r="CG31" t="s">
        <v>69</v>
      </c>
      <c r="CH31" t="s">
        <v>71</v>
      </c>
      <c r="CI31" t="s">
        <v>69</v>
      </c>
      <c r="CJ31">
        <v>131.17500000000001</v>
      </c>
      <c r="CK31" t="s">
        <v>69</v>
      </c>
      <c r="CL31" t="s">
        <v>69</v>
      </c>
      <c r="CM31">
        <v>153</v>
      </c>
      <c r="CN31" t="s">
        <v>72</v>
      </c>
      <c r="CO31" t="s">
        <v>69</v>
      </c>
      <c r="CP31" t="s">
        <v>71</v>
      </c>
      <c r="CQ31" t="s">
        <v>69</v>
      </c>
      <c r="CR31">
        <v>131.17500000000001</v>
      </c>
      <c r="CS31" t="s">
        <v>69</v>
      </c>
      <c r="CT31" t="s">
        <v>69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6"/>
  <sheetViews>
    <sheetView workbookViewId="0"/>
  </sheetViews>
  <sheetFormatPr defaultRowHeight="15" x14ac:dyDescent="0.25"/>
  <cols>
    <col min="8" max="8" width="46.5703125" customWidth="1"/>
  </cols>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row>
    <row r="2" spans="1:74" x14ac:dyDescent="0.25">
      <c r="A2">
        <v>7</v>
      </c>
      <c r="B2" t="str">
        <f>HYPERLINK("http://www.ncbi.nlm.nih.gov/protein/NP_065797.2","NP_065797.2")</f>
        <v>NP_065797.2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HYPERLINK("http://www.ncbi.nlm.nih.gov/protein/NP_065797.2","mitochondrial antiviral-signaling protein isoform 1")</f>
        <v>mitochondrial antiviral-signaling protein isoform 1</v>
      </c>
      <c r="I2" t="s">
        <v>263</v>
      </c>
      <c r="J2" t="s">
        <v>69</v>
      </c>
      <c r="K2">
        <v>436</v>
      </c>
      <c r="L2" t="s">
        <v>151</v>
      </c>
      <c r="M2" t="s">
        <v>69</v>
      </c>
      <c r="N2" t="s">
        <v>152</v>
      </c>
      <c r="O2" t="s">
        <v>69</v>
      </c>
      <c r="P2">
        <v>165.19200000000001</v>
      </c>
      <c r="Q2" t="s">
        <v>69</v>
      </c>
      <c r="R2" t="s">
        <v>69</v>
      </c>
      <c r="S2">
        <v>440</v>
      </c>
      <c r="T2" t="s">
        <v>73</v>
      </c>
      <c r="U2" t="s">
        <v>69</v>
      </c>
      <c r="V2" t="s">
        <v>71</v>
      </c>
      <c r="W2" t="s">
        <v>69</v>
      </c>
      <c r="X2">
        <v>89.093999999999994</v>
      </c>
      <c r="Y2" t="s">
        <v>69</v>
      </c>
      <c r="Z2" t="s">
        <v>69</v>
      </c>
      <c r="AA2">
        <v>441</v>
      </c>
      <c r="AB2" t="s">
        <v>145</v>
      </c>
      <c r="AC2" t="s">
        <v>69</v>
      </c>
      <c r="AD2" t="s">
        <v>71</v>
      </c>
      <c r="AE2" t="s">
        <v>69</v>
      </c>
      <c r="AF2">
        <v>131.17500000000001</v>
      </c>
      <c r="AG2" t="s">
        <v>69</v>
      </c>
      <c r="AH2" t="s">
        <v>69</v>
      </c>
      <c r="AI2">
        <v>442</v>
      </c>
      <c r="AJ2" t="s">
        <v>155</v>
      </c>
      <c r="AK2" t="s">
        <v>69</v>
      </c>
      <c r="AL2" t="s">
        <v>150</v>
      </c>
      <c r="AM2" t="s">
        <v>69</v>
      </c>
      <c r="AN2">
        <v>105.093</v>
      </c>
      <c r="AO2" t="s">
        <v>69</v>
      </c>
      <c r="AP2" t="s">
        <v>69</v>
      </c>
      <c r="AQ2">
        <v>456</v>
      </c>
      <c r="AR2" t="s">
        <v>119</v>
      </c>
      <c r="AS2" t="s">
        <v>69</v>
      </c>
      <c r="AT2" t="s">
        <v>120</v>
      </c>
      <c r="AU2" t="s">
        <v>69</v>
      </c>
      <c r="AV2">
        <v>147.131</v>
      </c>
      <c r="AW2" t="s">
        <v>69</v>
      </c>
      <c r="AX2" t="s">
        <v>69</v>
      </c>
      <c r="AY2">
        <v>457</v>
      </c>
      <c r="AZ2" t="s">
        <v>119</v>
      </c>
      <c r="BA2" t="s">
        <v>69</v>
      </c>
      <c r="BB2" t="s">
        <v>120</v>
      </c>
      <c r="BC2" t="s">
        <v>69</v>
      </c>
      <c r="BD2">
        <v>147.131</v>
      </c>
      <c r="BE2" t="s">
        <v>69</v>
      </c>
      <c r="BF2" t="s">
        <v>69</v>
      </c>
      <c r="BG2">
        <v>458</v>
      </c>
      <c r="BH2" t="s">
        <v>153</v>
      </c>
      <c r="BI2" t="s">
        <v>69</v>
      </c>
      <c r="BJ2" t="s">
        <v>148</v>
      </c>
      <c r="BK2" t="s">
        <v>69</v>
      </c>
      <c r="BL2">
        <v>132.119</v>
      </c>
      <c r="BM2" t="s">
        <v>69</v>
      </c>
      <c r="BN2" t="s">
        <v>69</v>
      </c>
      <c r="BO2">
        <v>459</v>
      </c>
      <c r="BP2" t="s">
        <v>119</v>
      </c>
      <c r="BQ2" t="s">
        <v>69</v>
      </c>
      <c r="BR2" t="s">
        <v>120</v>
      </c>
      <c r="BS2" t="s">
        <v>69</v>
      </c>
      <c r="BT2">
        <v>147.131</v>
      </c>
      <c r="BU2" t="s">
        <v>69</v>
      </c>
      <c r="BV2" t="s">
        <v>69</v>
      </c>
    </row>
    <row r="3" spans="1:74" x14ac:dyDescent="0.25">
      <c r="A3">
        <v>7</v>
      </c>
      <c r="B3" t="str">
        <f>HYPERLINK("http://www.ncbi.nlm.nih.gov/protein/XP_030860612.1","XP_030860612.1")</f>
        <v>XP_030860612.1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HYPERLINK("http://www.ncbi.nlm.nih.gov/protein/XP_030860612.1","mitochondrial antiviral-signaling protein")</f>
        <v>mitochondrial antiviral-signaling protein</v>
      </c>
      <c r="I3" t="s">
        <v>263</v>
      </c>
      <c r="J3" t="s">
        <v>69</v>
      </c>
      <c r="K3">
        <v>436</v>
      </c>
      <c r="L3" t="s">
        <v>151</v>
      </c>
      <c r="M3" t="s">
        <v>69</v>
      </c>
      <c r="N3" t="s">
        <v>152</v>
      </c>
      <c r="O3" t="s">
        <v>69</v>
      </c>
      <c r="P3">
        <v>165.19200000000001</v>
      </c>
      <c r="Q3" t="s">
        <v>69</v>
      </c>
      <c r="R3" t="s">
        <v>69</v>
      </c>
      <c r="S3">
        <v>440</v>
      </c>
      <c r="T3" t="s">
        <v>73</v>
      </c>
      <c r="U3" t="s">
        <v>69</v>
      </c>
      <c r="V3" t="s">
        <v>71</v>
      </c>
      <c r="W3" t="s">
        <v>69</v>
      </c>
      <c r="X3">
        <v>89.093999999999994</v>
      </c>
      <c r="Y3" t="s">
        <v>69</v>
      </c>
      <c r="Z3" t="s">
        <v>69</v>
      </c>
      <c r="AA3">
        <v>441</v>
      </c>
      <c r="AB3" t="s">
        <v>145</v>
      </c>
      <c r="AC3" t="s">
        <v>69</v>
      </c>
      <c r="AD3" t="s">
        <v>71</v>
      </c>
      <c r="AE3" t="s">
        <v>69</v>
      </c>
      <c r="AF3">
        <v>131.17500000000001</v>
      </c>
      <c r="AG3" t="s">
        <v>69</v>
      </c>
      <c r="AH3" t="s">
        <v>69</v>
      </c>
      <c r="AI3">
        <v>442</v>
      </c>
      <c r="AJ3" t="s">
        <v>155</v>
      </c>
      <c r="AK3" t="s">
        <v>69</v>
      </c>
      <c r="AL3" t="s">
        <v>150</v>
      </c>
      <c r="AM3" t="s">
        <v>69</v>
      </c>
      <c r="AN3">
        <v>105.093</v>
      </c>
      <c r="AO3" t="s">
        <v>69</v>
      </c>
      <c r="AP3" t="s">
        <v>69</v>
      </c>
      <c r="AQ3">
        <v>456</v>
      </c>
      <c r="AR3" t="s">
        <v>119</v>
      </c>
      <c r="AS3" t="s">
        <v>69</v>
      </c>
      <c r="AT3" t="s">
        <v>120</v>
      </c>
      <c r="AU3" t="s">
        <v>69</v>
      </c>
      <c r="AV3">
        <v>147.131</v>
      </c>
      <c r="AW3" t="s">
        <v>69</v>
      </c>
      <c r="AX3" t="s">
        <v>69</v>
      </c>
      <c r="AY3">
        <v>457</v>
      </c>
      <c r="AZ3" t="s">
        <v>119</v>
      </c>
      <c r="BA3" t="s">
        <v>69</v>
      </c>
      <c r="BB3" t="s">
        <v>120</v>
      </c>
      <c r="BC3" t="s">
        <v>69</v>
      </c>
      <c r="BD3">
        <v>147.131</v>
      </c>
      <c r="BE3" t="s">
        <v>69</v>
      </c>
      <c r="BF3" t="s">
        <v>69</v>
      </c>
      <c r="BG3">
        <v>458</v>
      </c>
      <c r="BH3" t="s">
        <v>153</v>
      </c>
      <c r="BI3" t="s">
        <v>69</v>
      </c>
      <c r="BJ3" t="s">
        <v>148</v>
      </c>
      <c r="BK3" t="s">
        <v>69</v>
      </c>
      <c r="BL3">
        <v>132.119</v>
      </c>
      <c r="BM3" t="s">
        <v>69</v>
      </c>
      <c r="BN3" t="s">
        <v>69</v>
      </c>
      <c r="BO3">
        <v>459</v>
      </c>
      <c r="BP3" t="s">
        <v>119</v>
      </c>
      <c r="BQ3" t="s">
        <v>69</v>
      </c>
      <c r="BR3" t="s">
        <v>120</v>
      </c>
      <c r="BS3" t="s">
        <v>69</v>
      </c>
      <c r="BT3">
        <v>147.131</v>
      </c>
      <c r="BU3" t="s">
        <v>69</v>
      </c>
      <c r="BV3" t="s">
        <v>69</v>
      </c>
    </row>
    <row r="4" spans="1:74" x14ac:dyDescent="0.25">
      <c r="A4">
        <v>7</v>
      </c>
      <c r="B4" t="str">
        <f>HYPERLINK("http://www.ncbi.nlm.nih.gov/protein/NP_001036131.1","NP_001036131.1")</f>
        <v>NP_001036131.1</v>
      </c>
      <c r="C4">
        <v>178339</v>
      </c>
      <c r="D4" t="str">
        <f>HYPERLINK("http://www.ncbi.nlm.nih.gov/Taxonomy/Browser/wwwtax.cgi?mode=Info&amp;id=9544&amp;lvl=3&amp;lin=f&amp;keep=1&amp;srchmode=1&amp;unlock","9544")</f>
        <v>9544</v>
      </c>
      <c r="E4" t="s">
        <v>66</v>
      </c>
      <c r="F4" t="str">
        <f>HYPERLINK("http://www.ncbi.nlm.nih.gov/Taxonomy/Browser/wwwtax.cgi?mode=Info&amp;id=9544&amp;lvl=3&amp;lin=f&amp;keep=1&amp;srchmode=1&amp;unlock","Macaca mulatta")</f>
        <v>Macaca mulatta</v>
      </c>
      <c r="G4" t="s">
        <v>77</v>
      </c>
      <c r="H4" t="str">
        <f>HYPERLINK("http://www.ncbi.nlm.nih.gov/protein/NP_001036131.1","mitochondrial antiviral-signaling protein")</f>
        <v>mitochondrial antiviral-signaling protein</v>
      </c>
      <c r="I4" t="s">
        <v>263</v>
      </c>
      <c r="J4" t="s">
        <v>153</v>
      </c>
      <c r="K4">
        <v>437</v>
      </c>
      <c r="L4" t="s">
        <v>155</v>
      </c>
      <c r="M4" t="s">
        <v>153</v>
      </c>
      <c r="N4" t="s">
        <v>150</v>
      </c>
      <c r="O4" t="s">
        <v>153</v>
      </c>
      <c r="P4">
        <v>105.093</v>
      </c>
      <c r="Q4" t="s">
        <v>153</v>
      </c>
      <c r="R4" t="s">
        <v>153</v>
      </c>
      <c r="S4">
        <v>441</v>
      </c>
      <c r="T4" t="s">
        <v>73</v>
      </c>
      <c r="U4" t="s">
        <v>69</v>
      </c>
      <c r="V4" t="s">
        <v>71</v>
      </c>
      <c r="W4" t="s">
        <v>69</v>
      </c>
      <c r="X4">
        <v>89.093999999999994</v>
      </c>
      <c r="Y4" t="s">
        <v>69</v>
      </c>
      <c r="Z4" t="s">
        <v>69</v>
      </c>
      <c r="AA4">
        <v>442</v>
      </c>
      <c r="AB4" t="s">
        <v>145</v>
      </c>
      <c r="AC4" t="s">
        <v>69</v>
      </c>
      <c r="AD4" t="s">
        <v>71</v>
      </c>
      <c r="AE4" t="s">
        <v>69</v>
      </c>
      <c r="AF4">
        <v>131.17500000000001</v>
      </c>
      <c r="AG4" t="s">
        <v>69</v>
      </c>
      <c r="AH4" t="s">
        <v>69</v>
      </c>
      <c r="AI4">
        <v>443</v>
      </c>
      <c r="AJ4" t="s">
        <v>155</v>
      </c>
      <c r="AK4" t="s">
        <v>69</v>
      </c>
      <c r="AL4" t="s">
        <v>150</v>
      </c>
      <c r="AM4" t="s">
        <v>69</v>
      </c>
      <c r="AN4">
        <v>105.093</v>
      </c>
      <c r="AO4" t="s">
        <v>69</v>
      </c>
      <c r="AP4" t="s">
        <v>69</v>
      </c>
      <c r="AQ4">
        <v>457</v>
      </c>
      <c r="AR4" t="s">
        <v>119</v>
      </c>
      <c r="AS4" t="s">
        <v>69</v>
      </c>
      <c r="AT4" t="s">
        <v>120</v>
      </c>
      <c r="AU4" t="s">
        <v>69</v>
      </c>
      <c r="AV4">
        <v>147.131</v>
      </c>
      <c r="AW4" t="s">
        <v>69</v>
      </c>
      <c r="AX4" t="s">
        <v>69</v>
      </c>
      <c r="AY4">
        <v>458</v>
      </c>
      <c r="AZ4" t="s">
        <v>119</v>
      </c>
      <c r="BA4" t="s">
        <v>69</v>
      </c>
      <c r="BB4" t="s">
        <v>120</v>
      </c>
      <c r="BC4" t="s">
        <v>69</v>
      </c>
      <c r="BD4">
        <v>147.131</v>
      </c>
      <c r="BE4" t="s">
        <v>69</v>
      </c>
      <c r="BF4" t="s">
        <v>69</v>
      </c>
      <c r="BG4">
        <v>459</v>
      </c>
      <c r="BH4" t="s">
        <v>153</v>
      </c>
      <c r="BI4" t="s">
        <v>69</v>
      </c>
      <c r="BJ4" t="s">
        <v>148</v>
      </c>
      <c r="BK4" t="s">
        <v>69</v>
      </c>
      <c r="BL4">
        <v>132.119</v>
      </c>
      <c r="BM4" t="s">
        <v>69</v>
      </c>
      <c r="BN4" t="s">
        <v>69</v>
      </c>
      <c r="BO4">
        <v>460</v>
      </c>
      <c r="BP4" t="s">
        <v>119</v>
      </c>
      <c r="BQ4" t="s">
        <v>69</v>
      </c>
      <c r="BR4" t="s">
        <v>120</v>
      </c>
      <c r="BS4" t="s">
        <v>69</v>
      </c>
      <c r="BT4">
        <v>147.131</v>
      </c>
      <c r="BU4" t="s">
        <v>69</v>
      </c>
      <c r="BV4" t="s">
        <v>69</v>
      </c>
    </row>
    <row r="5" spans="1:74" x14ac:dyDescent="0.25">
      <c r="A5">
        <v>7</v>
      </c>
      <c r="B5" t="str">
        <f>HYPERLINK("http://www.ncbi.nlm.nih.gov/protein/NP_001266458.1","NP_001266458.1")</f>
        <v>NP_001266458.1</v>
      </c>
      <c r="C5">
        <v>73529</v>
      </c>
      <c r="D5" t="str">
        <f>HYPERLINK("http://www.ncbi.nlm.nih.gov/Taxonomy/Browser/wwwtax.cgi?mode=Info&amp;id=9555&amp;lvl=3&amp;lin=f&amp;keep=1&amp;srchmode=1&amp;unlock","9555")</f>
        <v>9555</v>
      </c>
      <c r="E5" t="s">
        <v>66</v>
      </c>
      <c r="F5" t="str">
        <f>HYPERLINK("http://www.ncbi.nlm.nih.gov/Taxonomy/Browser/wwwtax.cgi?mode=Info&amp;id=9555&amp;lvl=3&amp;lin=f&amp;keep=1&amp;srchmode=1&amp;unlock","Papio anubis")</f>
        <v>Papio anubis</v>
      </c>
      <c r="G5" t="s">
        <v>80</v>
      </c>
      <c r="H5" t="str">
        <f>HYPERLINK("http://www.ncbi.nlm.nih.gov/protein/NP_001266458.1","mitochondrial antiviral-signaling protein")</f>
        <v>mitochondrial antiviral-signaling protein</v>
      </c>
      <c r="I5" t="s">
        <v>263</v>
      </c>
      <c r="J5" t="s">
        <v>153</v>
      </c>
      <c r="K5">
        <v>437</v>
      </c>
      <c r="L5" t="s">
        <v>155</v>
      </c>
      <c r="M5" t="s">
        <v>153</v>
      </c>
      <c r="N5" t="s">
        <v>150</v>
      </c>
      <c r="O5" t="s">
        <v>153</v>
      </c>
      <c r="P5">
        <v>105.093</v>
      </c>
      <c r="Q5" t="s">
        <v>153</v>
      </c>
      <c r="R5" t="s">
        <v>153</v>
      </c>
      <c r="S5">
        <v>441</v>
      </c>
      <c r="T5" t="s">
        <v>73</v>
      </c>
      <c r="U5" t="s">
        <v>69</v>
      </c>
      <c r="V5" t="s">
        <v>71</v>
      </c>
      <c r="W5" t="s">
        <v>69</v>
      </c>
      <c r="X5">
        <v>89.093999999999994</v>
      </c>
      <c r="Y5" t="s">
        <v>69</v>
      </c>
      <c r="Z5" t="s">
        <v>69</v>
      </c>
      <c r="AA5">
        <v>442</v>
      </c>
      <c r="AB5" t="s">
        <v>145</v>
      </c>
      <c r="AC5" t="s">
        <v>69</v>
      </c>
      <c r="AD5" t="s">
        <v>71</v>
      </c>
      <c r="AE5" t="s">
        <v>69</v>
      </c>
      <c r="AF5">
        <v>131.17500000000001</v>
      </c>
      <c r="AG5" t="s">
        <v>69</v>
      </c>
      <c r="AH5" t="s">
        <v>69</v>
      </c>
      <c r="AI5">
        <v>443</v>
      </c>
      <c r="AJ5" t="s">
        <v>155</v>
      </c>
      <c r="AK5" t="s">
        <v>69</v>
      </c>
      <c r="AL5" t="s">
        <v>150</v>
      </c>
      <c r="AM5" t="s">
        <v>69</v>
      </c>
      <c r="AN5">
        <v>105.093</v>
      </c>
      <c r="AO5" t="s">
        <v>69</v>
      </c>
      <c r="AP5" t="s">
        <v>69</v>
      </c>
      <c r="AQ5">
        <v>457</v>
      </c>
      <c r="AR5" t="s">
        <v>119</v>
      </c>
      <c r="AS5" t="s">
        <v>69</v>
      </c>
      <c r="AT5" t="s">
        <v>120</v>
      </c>
      <c r="AU5" t="s">
        <v>69</v>
      </c>
      <c r="AV5">
        <v>147.131</v>
      </c>
      <c r="AW5" t="s">
        <v>69</v>
      </c>
      <c r="AX5" t="s">
        <v>69</v>
      </c>
      <c r="AY5">
        <v>458</v>
      </c>
      <c r="AZ5" t="s">
        <v>119</v>
      </c>
      <c r="BA5" t="s">
        <v>69</v>
      </c>
      <c r="BB5" t="s">
        <v>120</v>
      </c>
      <c r="BC5" t="s">
        <v>69</v>
      </c>
      <c r="BD5">
        <v>147.131</v>
      </c>
      <c r="BE5" t="s">
        <v>69</v>
      </c>
      <c r="BF5" t="s">
        <v>69</v>
      </c>
      <c r="BG5">
        <v>459</v>
      </c>
      <c r="BH5" t="s">
        <v>153</v>
      </c>
      <c r="BI5" t="s">
        <v>69</v>
      </c>
      <c r="BJ5" t="s">
        <v>148</v>
      </c>
      <c r="BK5" t="s">
        <v>69</v>
      </c>
      <c r="BL5">
        <v>132.119</v>
      </c>
      <c r="BM5" t="s">
        <v>69</v>
      </c>
      <c r="BN5" t="s">
        <v>69</v>
      </c>
      <c r="BO5">
        <v>460</v>
      </c>
      <c r="BP5" t="s">
        <v>119</v>
      </c>
      <c r="BQ5" t="s">
        <v>69</v>
      </c>
      <c r="BR5" t="s">
        <v>120</v>
      </c>
      <c r="BS5" t="s">
        <v>69</v>
      </c>
      <c r="BT5">
        <v>147.131</v>
      </c>
      <c r="BU5" t="s">
        <v>69</v>
      </c>
      <c r="BV5" t="s">
        <v>69</v>
      </c>
    </row>
    <row r="6" spans="1:74" x14ac:dyDescent="0.25">
      <c r="A6">
        <v>7</v>
      </c>
      <c r="B6" t="str">
        <f>HYPERLINK("http://www.ncbi.nlm.nih.gov/protein/XP_008017927.2","XP_008017927.2")</f>
        <v>XP_008017927.2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HYPERLINK("http://www.ncbi.nlm.nih.gov/protein/XP_008017927.2","mitochondrial antiviral-signaling protein")</f>
        <v>mitochondrial antiviral-signaling protein</v>
      </c>
      <c r="I6" t="s">
        <v>263</v>
      </c>
      <c r="J6" t="s">
        <v>153</v>
      </c>
      <c r="K6">
        <v>436</v>
      </c>
      <c r="L6" t="s">
        <v>155</v>
      </c>
      <c r="M6" t="s">
        <v>153</v>
      </c>
      <c r="N6" t="s">
        <v>150</v>
      </c>
      <c r="O6" t="s">
        <v>153</v>
      </c>
      <c r="P6">
        <v>105.093</v>
      </c>
      <c r="Q6" t="s">
        <v>153</v>
      </c>
      <c r="R6" t="s">
        <v>153</v>
      </c>
      <c r="S6">
        <v>440</v>
      </c>
      <c r="T6" t="s">
        <v>73</v>
      </c>
      <c r="U6" t="s">
        <v>69</v>
      </c>
      <c r="V6" t="s">
        <v>71</v>
      </c>
      <c r="W6" t="s">
        <v>69</v>
      </c>
      <c r="X6">
        <v>89.093999999999994</v>
      </c>
      <c r="Y6" t="s">
        <v>69</v>
      </c>
      <c r="Z6" t="s">
        <v>69</v>
      </c>
      <c r="AA6">
        <v>441</v>
      </c>
      <c r="AB6" t="s">
        <v>145</v>
      </c>
      <c r="AC6" t="s">
        <v>69</v>
      </c>
      <c r="AD6" t="s">
        <v>71</v>
      </c>
      <c r="AE6" t="s">
        <v>69</v>
      </c>
      <c r="AF6">
        <v>131.17500000000001</v>
      </c>
      <c r="AG6" t="s">
        <v>69</v>
      </c>
      <c r="AH6" t="s">
        <v>69</v>
      </c>
      <c r="AI6">
        <v>442</v>
      </c>
      <c r="AJ6" t="s">
        <v>155</v>
      </c>
      <c r="AK6" t="s">
        <v>69</v>
      </c>
      <c r="AL6" t="s">
        <v>150</v>
      </c>
      <c r="AM6" t="s">
        <v>69</v>
      </c>
      <c r="AN6">
        <v>105.093</v>
      </c>
      <c r="AO6" t="s">
        <v>69</v>
      </c>
      <c r="AP6" t="s">
        <v>69</v>
      </c>
      <c r="AQ6">
        <v>456</v>
      </c>
      <c r="AR6" t="s">
        <v>119</v>
      </c>
      <c r="AS6" t="s">
        <v>69</v>
      </c>
      <c r="AT6" t="s">
        <v>120</v>
      </c>
      <c r="AU6" t="s">
        <v>69</v>
      </c>
      <c r="AV6">
        <v>147.131</v>
      </c>
      <c r="AW6" t="s">
        <v>69</v>
      </c>
      <c r="AX6" t="s">
        <v>69</v>
      </c>
      <c r="AY6">
        <v>457</v>
      </c>
      <c r="AZ6" t="s">
        <v>119</v>
      </c>
      <c r="BA6" t="s">
        <v>69</v>
      </c>
      <c r="BB6" t="s">
        <v>120</v>
      </c>
      <c r="BC6" t="s">
        <v>69</v>
      </c>
      <c r="BD6">
        <v>147.131</v>
      </c>
      <c r="BE6" t="s">
        <v>69</v>
      </c>
      <c r="BF6" t="s">
        <v>69</v>
      </c>
      <c r="BG6">
        <v>458</v>
      </c>
      <c r="BH6" t="s">
        <v>153</v>
      </c>
      <c r="BI6" t="s">
        <v>69</v>
      </c>
      <c r="BJ6" t="s">
        <v>148</v>
      </c>
      <c r="BK6" t="s">
        <v>69</v>
      </c>
      <c r="BL6">
        <v>132.119</v>
      </c>
      <c r="BM6" t="s">
        <v>69</v>
      </c>
      <c r="BN6" t="s">
        <v>69</v>
      </c>
      <c r="BO6">
        <v>459</v>
      </c>
      <c r="BP6" t="s">
        <v>119</v>
      </c>
      <c r="BQ6" t="s">
        <v>69</v>
      </c>
      <c r="BR6" t="s">
        <v>120</v>
      </c>
      <c r="BS6" t="s">
        <v>69</v>
      </c>
      <c r="BT6">
        <v>147.131</v>
      </c>
      <c r="BU6" t="s">
        <v>69</v>
      </c>
      <c r="BV6" t="s">
        <v>69</v>
      </c>
    </row>
    <row r="7" spans="1:74" x14ac:dyDescent="0.25">
      <c r="A7">
        <v>7</v>
      </c>
      <c r="B7" t="str">
        <f>HYPERLINK("http://www.ncbi.nlm.nih.gov/protein/XP_035154175.1","XP_035154175.1")</f>
        <v>XP_035154175.1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HYPERLINK("http://www.ncbi.nlm.nih.gov/protein/XP_035154175.1","mitochondrial antiviral-signaling protein isoform X1")</f>
        <v>mitochondrial antiviral-signaling protein isoform X1</v>
      </c>
      <c r="I7" t="s">
        <v>263</v>
      </c>
      <c r="J7" t="s">
        <v>153</v>
      </c>
      <c r="K7">
        <v>428</v>
      </c>
      <c r="L7" t="s">
        <v>155</v>
      </c>
      <c r="M7" t="s">
        <v>153</v>
      </c>
      <c r="N7" t="s">
        <v>150</v>
      </c>
      <c r="O7" t="s">
        <v>153</v>
      </c>
      <c r="P7">
        <v>105.093</v>
      </c>
      <c r="Q7" t="s">
        <v>153</v>
      </c>
      <c r="R7" t="s">
        <v>153</v>
      </c>
      <c r="S7">
        <v>432</v>
      </c>
      <c r="T7" t="s">
        <v>73</v>
      </c>
      <c r="U7" t="s">
        <v>69</v>
      </c>
      <c r="V7" t="s">
        <v>71</v>
      </c>
      <c r="W7" t="s">
        <v>69</v>
      </c>
      <c r="X7">
        <v>89.093999999999994</v>
      </c>
      <c r="Y7" t="s">
        <v>69</v>
      </c>
      <c r="Z7" t="s">
        <v>69</v>
      </c>
      <c r="AA7">
        <v>433</v>
      </c>
      <c r="AB7" t="s">
        <v>145</v>
      </c>
      <c r="AC7" t="s">
        <v>69</v>
      </c>
      <c r="AD7" t="s">
        <v>71</v>
      </c>
      <c r="AE7" t="s">
        <v>69</v>
      </c>
      <c r="AF7">
        <v>131.17500000000001</v>
      </c>
      <c r="AG7" t="s">
        <v>69</v>
      </c>
      <c r="AH7" t="s">
        <v>69</v>
      </c>
      <c r="AI7">
        <v>434</v>
      </c>
      <c r="AJ7" t="s">
        <v>155</v>
      </c>
      <c r="AK7" t="s">
        <v>69</v>
      </c>
      <c r="AL7" t="s">
        <v>150</v>
      </c>
      <c r="AM7" t="s">
        <v>69</v>
      </c>
      <c r="AN7">
        <v>105.093</v>
      </c>
      <c r="AO7" t="s">
        <v>69</v>
      </c>
      <c r="AP7" t="s">
        <v>69</v>
      </c>
      <c r="AQ7">
        <v>448</v>
      </c>
      <c r="AR7" t="s">
        <v>119</v>
      </c>
      <c r="AS7" t="s">
        <v>69</v>
      </c>
      <c r="AT7" t="s">
        <v>120</v>
      </c>
      <c r="AU7" t="s">
        <v>69</v>
      </c>
      <c r="AV7">
        <v>147.131</v>
      </c>
      <c r="AW7" t="s">
        <v>69</v>
      </c>
      <c r="AX7" t="s">
        <v>69</v>
      </c>
      <c r="AY7">
        <v>449</v>
      </c>
      <c r="AZ7" t="s">
        <v>119</v>
      </c>
      <c r="BA7" t="s">
        <v>69</v>
      </c>
      <c r="BB7" t="s">
        <v>120</v>
      </c>
      <c r="BC7" t="s">
        <v>69</v>
      </c>
      <c r="BD7">
        <v>147.131</v>
      </c>
      <c r="BE7" t="s">
        <v>69</v>
      </c>
      <c r="BF7" t="s">
        <v>69</v>
      </c>
      <c r="BG7">
        <v>450</v>
      </c>
      <c r="BH7" t="s">
        <v>153</v>
      </c>
      <c r="BI7" t="s">
        <v>69</v>
      </c>
      <c r="BJ7" t="s">
        <v>148</v>
      </c>
      <c r="BK7" t="s">
        <v>69</v>
      </c>
      <c r="BL7">
        <v>132.119</v>
      </c>
      <c r="BM7" t="s">
        <v>69</v>
      </c>
      <c r="BN7" t="s">
        <v>69</v>
      </c>
      <c r="BO7">
        <v>451</v>
      </c>
      <c r="BP7" t="s">
        <v>119</v>
      </c>
      <c r="BQ7" t="s">
        <v>69</v>
      </c>
      <c r="BR7" t="s">
        <v>120</v>
      </c>
      <c r="BS7" t="s">
        <v>69</v>
      </c>
      <c r="BT7">
        <v>147.131</v>
      </c>
      <c r="BU7" t="s">
        <v>69</v>
      </c>
      <c r="BV7" t="s">
        <v>69</v>
      </c>
    </row>
    <row r="8" spans="1:74" x14ac:dyDescent="0.25">
      <c r="A8">
        <v>7</v>
      </c>
      <c r="B8" t="str">
        <f>HYPERLINK("http://www.ncbi.nlm.nih.gov/protein/XP_006164034.1","XP_006164034.1")</f>
        <v>XP_006164034.1</v>
      </c>
      <c r="C8">
        <v>59507</v>
      </c>
      <c r="D8" t="str">
        <f>HYPERLINK("http://www.ncbi.nlm.nih.gov/Taxonomy/Browser/wwwtax.cgi?mode=Info&amp;id=246437&amp;lvl=3&amp;lin=f&amp;keep=1&amp;srchmode=1&amp;unlock","246437")</f>
        <v>246437</v>
      </c>
      <c r="E8" t="s">
        <v>66</v>
      </c>
      <c r="F8" t="str">
        <f>HYPERLINK("http://www.ncbi.nlm.nih.gov/Taxonomy/Browser/wwwtax.cgi?mode=Info&amp;id=246437&amp;lvl=3&amp;lin=f&amp;keep=1&amp;srchmode=1&amp;unlock","Tupaia chinensis")</f>
        <v>Tupaia chinensis</v>
      </c>
      <c r="G8" t="s">
        <v>97</v>
      </c>
      <c r="H8" t="str">
        <f>HYPERLINK("http://www.ncbi.nlm.nih.gov/protein/XP_006164034.1","mitochondrial antiviral-signaling protein")</f>
        <v>mitochondrial antiviral-signaling protein</v>
      </c>
      <c r="I8" t="s">
        <v>263</v>
      </c>
      <c r="J8" t="s">
        <v>153</v>
      </c>
      <c r="K8">
        <v>405</v>
      </c>
      <c r="L8" t="s">
        <v>155</v>
      </c>
      <c r="M8" t="s">
        <v>153</v>
      </c>
      <c r="N8" t="s">
        <v>150</v>
      </c>
      <c r="O8" t="s">
        <v>153</v>
      </c>
      <c r="P8">
        <v>105.093</v>
      </c>
      <c r="Q8" t="s">
        <v>153</v>
      </c>
      <c r="R8" t="s">
        <v>153</v>
      </c>
      <c r="S8">
        <v>409</v>
      </c>
      <c r="T8" t="s">
        <v>73</v>
      </c>
      <c r="U8" t="s">
        <v>69</v>
      </c>
      <c r="V8" t="s">
        <v>71</v>
      </c>
      <c r="W8" t="s">
        <v>69</v>
      </c>
      <c r="X8">
        <v>89.093999999999994</v>
      </c>
      <c r="Y8" t="s">
        <v>69</v>
      </c>
      <c r="Z8" t="s">
        <v>69</v>
      </c>
      <c r="AA8">
        <v>410</v>
      </c>
      <c r="AB8" t="s">
        <v>145</v>
      </c>
      <c r="AC8" t="s">
        <v>69</v>
      </c>
      <c r="AD8" t="s">
        <v>71</v>
      </c>
      <c r="AE8" t="s">
        <v>69</v>
      </c>
      <c r="AF8">
        <v>131.17500000000001</v>
      </c>
      <c r="AG8" t="s">
        <v>69</v>
      </c>
      <c r="AH8" t="s">
        <v>69</v>
      </c>
      <c r="AI8">
        <v>411</v>
      </c>
      <c r="AJ8" t="s">
        <v>155</v>
      </c>
      <c r="AK8" t="s">
        <v>69</v>
      </c>
      <c r="AL8" t="s">
        <v>150</v>
      </c>
      <c r="AM8" t="s">
        <v>69</v>
      </c>
      <c r="AN8">
        <v>105.093</v>
      </c>
      <c r="AO8" t="s">
        <v>69</v>
      </c>
      <c r="AP8" t="s">
        <v>69</v>
      </c>
      <c r="AQ8">
        <v>425</v>
      </c>
      <c r="AR8" t="s">
        <v>119</v>
      </c>
      <c r="AS8" t="s">
        <v>69</v>
      </c>
      <c r="AT8" t="s">
        <v>120</v>
      </c>
      <c r="AU8" t="s">
        <v>69</v>
      </c>
      <c r="AV8">
        <v>147.131</v>
      </c>
      <c r="AW8" t="s">
        <v>69</v>
      </c>
      <c r="AX8" t="s">
        <v>69</v>
      </c>
      <c r="AY8">
        <v>426</v>
      </c>
      <c r="AZ8" t="s">
        <v>119</v>
      </c>
      <c r="BA8" t="s">
        <v>69</v>
      </c>
      <c r="BB8" t="s">
        <v>120</v>
      </c>
      <c r="BC8" t="s">
        <v>69</v>
      </c>
      <c r="BD8">
        <v>147.131</v>
      </c>
      <c r="BE8" t="s">
        <v>69</v>
      </c>
      <c r="BF8" t="s">
        <v>69</v>
      </c>
      <c r="BG8">
        <v>427</v>
      </c>
      <c r="BH8" t="s">
        <v>153</v>
      </c>
      <c r="BI8" t="s">
        <v>69</v>
      </c>
      <c r="BJ8" t="s">
        <v>148</v>
      </c>
      <c r="BK8" t="s">
        <v>69</v>
      </c>
      <c r="BL8">
        <v>132.119</v>
      </c>
      <c r="BM8" t="s">
        <v>69</v>
      </c>
      <c r="BN8" t="s">
        <v>69</v>
      </c>
      <c r="BO8">
        <v>428</v>
      </c>
      <c r="BP8" t="s">
        <v>119</v>
      </c>
      <c r="BQ8" t="s">
        <v>69</v>
      </c>
      <c r="BR8" t="s">
        <v>120</v>
      </c>
      <c r="BS8" t="s">
        <v>69</v>
      </c>
      <c r="BT8">
        <v>147.131</v>
      </c>
      <c r="BU8" t="s">
        <v>69</v>
      </c>
      <c r="BV8" t="s">
        <v>69</v>
      </c>
    </row>
    <row r="9" spans="1:74" x14ac:dyDescent="0.25">
      <c r="A9">
        <v>7</v>
      </c>
      <c r="B9" t="str">
        <f>HYPERLINK("http://www.ncbi.nlm.nih.gov/protein/AJT59489.1","AJT59489.1")</f>
        <v>AJT59489.1</v>
      </c>
      <c r="C9">
        <v>382</v>
      </c>
      <c r="D9" t="str">
        <f>HYPERLINK("http://www.ncbi.nlm.nih.gov/Taxonomy/Browser/wwwtax.cgi?mode=Info&amp;id=37347&amp;lvl=3&amp;lin=f&amp;keep=1&amp;srchmode=1&amp;unlock","37347")</f>
        <v>37347</v>
      </c>
      <c r="E9" t="s">
        <v>66</v>
      </c>
      <c r="F9" t="str">
        <f>HYPERLINK("http://www.ncbi.nlm.nih.gov/Taxonomy/Browser/wwwtax.cgi?mode=Info&amp;id=37347&amp;lvl=3&amp;lin=f&amp;keep=1&amp;srchmode=1&amp;unlock","Tupaia belangeri")</f>
        <v>Tupaia belangeri</v>
      </c>
      <c r="G9" t="s">
        <v>262</v>
      </c>
      <c r="H9" t="str">
        <f>HYPERLINK("http://www.ncbi.nlm.nih.gov/protein/AJT59489.1","MAVS")</f>
        <v>MAVS</v>
      </c>
      <c r="I9" t="s">
        <v>263</v>
      </c>
      <c r="J9" t="s">
        <v>153</v>
      </c>
      <c r="K9">
        <v>403</v>
      </c>
      <c r="L9" t="s">
        <v>155</v>
      </c>
      <c r="M9" t="s">
        <v>153</v>
      </c>
      <c r="N9" t="s">
        <v>150</v>
      </c>
      <c r="O9" t="s">
        <v>153</v>
      </c>
      <c r="P9">
        <v>105.093</v>
      </c>
      <c r="Q9" t="s">
        <v>153</v>
      </c>
      <c r="R9" t="s">
        <v>153</v>
      </c>
      <c r="S9">
        <v>407</v>
      </c>
      <c r="T9" t="s">
        <v>73</v>
      </c>
      <c r="U9" t="s">
        <v>69</v>
      </c>
      <c r="V9" t="s">
        <v>71</v>
      </c>
      <c r="W9" t="s">
        <v>69</v>
      </c>
      <c r="X9">
        <v>89.093999999999994</v>
      </c>
      <c r="Y9" t="s">
        <v>69</v>
      </c>
      <c r="Z9" t="s">
        <v>69</v>
      </c>
      <c r="AA9">
        <v>408</v>
      </c>
      <c r="AB9" t="s">
        <v>145</v>
      </c>
      <c r="AC9" t="s">
        <v>69</v>
      </c>
      <c r="AD9" t="s">
        <v>71</v>
      </c>
      <c r="AE9" t="s">
        <v>69</v>
      </c>
      <c r="AF9">
        <v>131.17500000000001</v>
      </c>
      <c r="AG9" t="s">
        <v>69</v>
      </c>
      <c r="AH9" t="s">
        <v>69</v>
      </c>
      <c r="AI9">
        <v>409</v>
      </c>
      <c r="AJ9" t="s">
        <v>155</v>
      </c>
      <c r="AK9" t="s">
        <v>69</v>
      </c>
      <c r="AL9" t="s">
        <v>150</v>
      </c>
      <c r="AM9" t="s">
        <v>69</v>
      </c>
      <c r="AN9">
        <v>105.093</v>
      </c>
      <c r="AO9" t="s">
        <v>69</v>
      </c>
      <c r="AP9" t="s">
        <v>69</v>
      </c>
      <c r="AQ9">
        <v>423</v>
      </c>
      <c r="AR9" t="s">
        <v>119</v>
      </c>
      <c r="AS9" t="s">
        <v>69</v>
      </c>
      <c r="AT9" t="s">
        <v>120</v>
      </c>
      <c r="AU9" t="s">
        <v>69</v>
      </c>
      <c r="AV9">
        <v>147.131</v>
      </c>
      <c r="AW9" t="s">
        <v>69</v>
      </c>
      <c r="AX9" t="s">
        <v>69</v>
      </c>
      <c r="AY9">
        <v>424</v>
      </c>
      <c r="AZ9" t="s">
        <v>119</v>
      </c>
      <c r="BA9" t="s">
        <v>69</v>
      </c>
      <c r="BB9" t="s">
        <v>120</v>
      </c>
      <c r="BC9" t="s">
        <v>69</v>
      </c>
      <c r="BD9">
        <v>147.131</v>
      </c>
      <c r="BE9" t="s">
        <v>69</v>
      </c>
      <c r="BF9" t="s">
        <v>69</v>
      </c>
      <c r="BG9">
        <v>425</v>
      </c>
      <c r="BH9" t="s">
        <v>153</v>
      </c>
      <c r="BI9" t="s">
        <v>69</v>
      </c>
      <c r="BJ9" t="s">
        <v>148</v>
      </c>
      <c r="BK9" t="s">
        <v>69</v>
      </c>
      <c r="BL9">
        <v>132.119</v>
      </c>
      <c r="BM9" t="s">
        <v>69</v>
      </c>
      <c r="BN9" t="s">
        <v>69</v>
      </c>
      <c r="BO9">
        <v>426</v>
      </c>
      <c r="BP9" t="s">
        <v>119</v>
      </c>
      <c r="BQ9" t="s">
        <v>69</v>
      </c>
      <c r="BR9" t="s">
        <v>120</v>
      </c>
      <c r="BS9" t="s">
        <v>69</v>
      </c>
      <c r="BT9">
        <v>147.131</v>
      </c>
      <c r="BU9" t="s">
        <v>69</v>
      </c>
      <c r="BV9" t="s">
        <v>69</v>
      </c>
    </row>
    <row r="10" spans="1:74" x14ac:dyDescent="0.25">
      <c r="A10">
        <v>7</v>
      </c>
      <c r="B10" t="str">
        <f>HYPERLINK("http://www.ncbi.nlm.nih.gov/protein/ANQ45220.1","ANQ45220.1")</f>
        <v>ANQ45220.1</v>
      </c>
      <c r="C10">
        <v>136186</v>
      </c>
      <c r="D10" t="str">
        <f>HYPERLINK("http://www.ncbi.nlm.nih.gov/Taxonomy/Browser/wwwtax.cgi?mode=Info&amp;id=9913&amp;lvl=3&amp;lin=f&amp;keep=1&amp;srchmode=1&amp;unlock","9913")</f>
        <v>9913</v>
      </c>
      <c r="E10" t="s">
        <v>66</v>
      </c>
      <c r="F10" t="str">
        <f>HYPERLINK("http://www.ncbi.nlm.nih.gov/Taxonomy/Browser/wwwtax.cgi?mode=Info&amp;id=9913&amp;lvl=3&amp;lin=f&amp;keep=1&amp;srchmode=1&amp;unlock","Bos taurus")</f>
        <v>Bos taurus</v>
      </c>
      <c r="G10" t="s">
        <v>82</v>
      </c>
      <c r="H10" t="str">
        <f>HYPERLINK("http://www.ncbi.nlm.nih.gov/protein/ANQ45220.1","VISA")</f>
        <v>VISA</v>
      </c>
      <c r="I10" t="s">
        <v>263</v>
      </c>
      <c r="J10" t="s">
        <v>153</v>
      </c>
      <c r="K10">
        <v>427</v>
      </c>
      <c r="L10" t="s">
        <v>155</v>
      </c>
      <c r="M10" t="s">
        <v>153</v>
      </c>
      <c r="N10" t="s">
        <v>150</v>
      </c>
      <c r="O10" t="s">
        <v>153</v>
      </c>
      <c r="P10">
        <v>105.093</v>
      </c>
      <c r="Q10" t="s">
        <v>153</v>
      </c>
      <c r="R10" t="s">
        <v>153</v>
      </c>
      <c r="S10">
        <v>431</v>
      </c>
      <c r="T10" t="s">
        <v>73</v>
      </c>
      <c r="U10" t="s">
        <v>69</v>
      </c>
      <c r="V10" t="s">
        <v>71</v>
      </c>
      <c r="W10" t="s">
        <v>69</v>
      </c>
      <c r="X10">
        <v>89.093999999999994</v>
      </c>
      <c r="Y10" t="s">
        <v>69</v>
      </c>
      <c r="Z10" t="s">
        <v>69</v>
      </c>
      <c r="AA10">
        <v>432</v>
      </c>
      <c r="AB10" t="s">
        <v>145</v>
      </c>
      <c r="AC10" t="s">
        <v>69</v>
      </c>
      <c r="AD10" t="s">
        <v>71</v>
      </c>
      <c r="AE10" t="s">
        <v>69</v>
      </c>
      <c r="AF10">
        <v>131.17500000000001</v>
      </c>
      <c r="AG10" t="s">
        <v>69</v>
      </c>
      <c r="AH10" t="s">
        <v>69</v>
      </c>
      <c r="AI10">
        <v>433</v>
      </c>
      <c r="AJ10" t="s">
        <v>155</v>
      </c>
      <c r="AK10" t="s">
        <v>69</v>
      </c>
      <c r="AL10" t="s">
        <v>150</v>
      </c>
      <c r="AM10" t="s">
        <v>69</v>
      </c>
      <c r="AN10">
        <v>105.093</v>
      </c>
      <c r="AO10" t="s">
        <v>69</v>
      </c>
      <c r="AP10" t="s">
        <v>69</v>
      </c>
      <c r="AQ10">
        <v>447</v>
      </c>
      <c r="AR10" t="s">
        <v>119</v>
      </c>
      <c r="AS10" t="s">
        <v>69</v>
      </c>
      <c r="AT10" t="s">
        <v>120</v>
      </c>
      <c r="AU10" t="s">
        <v>69</v>
      </c>
      <c r="AV10">
        <v>147.131</v>
      </c>
      <c r="AW10" t="s">
        <v>69</v>
      </c>
      <c r="AX10" t="s">
        <v>69</v>
      </c>
      <c r="AY10">
        <v>448</v>
      </c>
      <c r="AZ10" t="s">
        <v>119</v>
      </c>
      <c r="BA10" t="s">
        <v>69</v>
      </c>
      <c r="BB10" t="s">
        <v>120</v>
      </c>
      <c r="BC10" t="s">
        <v>69</v>
      </c>
      <c r="BD10">
        <v>147.131</v>
      </c>
      <c r="BE10" t="s">
        <v>69</v>
      </c>
      <c r="BF10" t="s">
        <v>69</v>
      </c>
      <c r="BG10">
        <v>449</v>
      </c>
      <c r="BH10" t="s">
        <v>153</v>
      </c>
      <c r="BI10" t="s">
        <v>69</v>
      </c>
      <c r="BJ10" t="s">
        <v>148</v>
      </c>
      <c r="BK10" t="s">
        <v>69</v>
      </c>
      <c r="BL10">
        <v>132.119</v>
      </c>
      <c r="BM10" t="s">
        <v>69</v>
      </c>
      <c r="BN10" t="s">
        <v>69</v>
      </c>
      <c r="BO10">
        <v>450</v>
      </c>
      <c r="BP10" t="s">
        <v>119</v>
      </c>
      <c r="BQ10" t="s">
        <v>69</v>
      </c>
      <c r="BR10" t="s">
        <v>120</v>
      </c>
      <c r="BS10" t="s">
        <v>69</v>
      </c>
      <c r="BT10">
        <v>147.131</v>
      </c>
      <c r="BU10" t="s">
        <v>69</v>
      </c>
      <c r="BV10" t="s">
        <v>69</v>
      </c>
    </row>
    <row r="11" spans="1:74" x14ac:dyDescent="0.25">
      <c r="A11">
        <v>7</v>
      </c>
      <c r="B11" t="str">
        <f>HYPERLINK("http://www.ncbi.nlm.nih.gov/protein/XP_047395656.1","XP_047395656.1")</f>
        <v>XP_047395656.1</v>
      </c>
      <c r="C11">
        <v>74939</v>
      </c>
      <c r="D11" t="str">
        <f>HYPERLINK("http://www.ncbi.nlm.nih.gov/Taxonomy/Browser/wwwtax.cgi?mode=Info&amp;id=30640&amp;lvl=3&amp;lin=f&amp;keep=1&amp;srchmode=1&amp;unlock","30640")</f>
        <v>30640</v>
      </c>
      <c r="E11" t="s">
        <v>66</v>
      </c>
      <c r="F11" t="str">
        <f>HYPERLINK("http://www.ncbi.nlm.nih.gov/Taxonomy/Browser/wwwtax.cgi?mode=Info&amp;id=30640&amp;lvl=3&amp;lin=f&amp;keep=1&amp;srchmode=1&amp;unlock","Neosciurus carolinensis")</f>
        <v>Neosciurus carolinensis</v>
      </c>
      <c r="G11" t="s">
        <v>101</v>
      </c>
      <c r="H11" t="str">
        <f>HYPERLINK("http://www.ncbi.nlm.nih.gov/protein/XP_047395656.1","mitochondrial antiviral-signaling protein-like")</f>
        <v>mitochondrial antiviral-signaling protein-like</v>
      </c>
      <c r="I11" t="s">
        <v>263</v>
      </c>
      <c r="J11" t="s">
        <v>153</v>
      </c>
      <c r="K11">
        <v>416</v>
      </c>
      <c r="L11" t="s">
        <v>155</v>
      </c>
      <c r="M11" t="s">
        <v>153</v>
      </c>
      <c r="N11" t="s">
        <v>150</v>
      </c>
      <c r="O11" t="s">
        <v>153</v>
      </c>
      <c r="P11">
        <v>105.093</v>
      </c>
      <c r="Q11" t="s">
        <v>153</v>
      </c>
      <c r="R11" t="s">
        <v>153</v>
      </c>
      <c r="S11">
        <v>420</v>
      </c>
      <c r="T11" t="s">
        <v>73</v>
      </c>
      <c r="U11" t="s">
        <v>69</v>
      </c>
      <c r="V11" t="s">
        <v>71</v>
      </c>
      <c r="W11" t="s">
        <v>69</v>
      </c>
      <c r="X11">
        <v>89.093999999999994</v>
      </c>
      <c r="Y11" t="s">
        <v>69</v>
      </c>
      <c r="Z11" t="s">
        <v>69</v>
      </c>
      <c r="AA11">
        <v>421</v>
      </c>
      <c r="AB11" t="s">
        <v>145</v>
      </c>
      <c r="AC11" t="s">
        <v>69</v>
      </c>
      <c r="AD11" t="s">
        <v>71</v>
      </c>
      <c r="AE11" t="s">
        <v>69</v>
      </c>
      <c r="AF11">
        <v>131.17500000000001</v>
      </c>
      <c r="AG11" t="s">
        <v>69</v>
      </c>
      <c r="AH11" t="s">
        <v>69</v>
      </c>
      <c r="AI11">
        <v>422</v>
      </c>
      <c r="AJ11" t="s">
        <v>155</v>
      </c>
      <c r="AK11" t="s">
        <v>69</v>
      </c>
      <c r="AL11" t="s">
        <v>150</v>
      </c>
      <c r="AM11" t="s">
        <v>69</v>
      </c>
      <c r="AN11">
        <v>105.093</v>
      </c>
      <c r="AO11" t="s">
        <v>69</v>
      </c>
      <c r="AP11" t="s">
        <v>69</v>
      </c>
      <c r="AQ11">
        <v>434</v>
      </c>
      <c r="AR11" t="s">
        <v>119</v>
      </c>
      <c r="AS11" t="s">
        <v>69</v>
      </c>
      <c r="AT11" t="s">
        <v>120</v>
      </c>
      <c r="AU11" t="s">
        <v>69</v>
      </c>
      <c r="AV11">
        <v>147.131</v>
      </c>
      <c r="AW11" t="s">
        <v>69</v>
      </c>
      <c r="AX11" t="s">
        <v>69</v>
      </c>
      <c r="AY11">
        <v>435</v>
      </c>
      <c r="AZ11" t="s">
        <v>119</v>
      </c>
      <c r="BA11" t="s">
        <v>69</v>
      </c>
      <c r="BB11" t="s">
        <v>120</v>
      </c>
      <c r="BC11" t="s">
        <v>69</v>
      </c>
      <c r="BD11">
        <v>147.131</v>
      </c>
      <c r="BE11" t="s">
        <v>69</v>
      </c>
      <c r="BF11" t="s">
        <v>69</v>
      </c>
      <c r="BG11">
        <v>436</v>
      </c>
      <c r="BH11" t="s">
        <v>153</v>
      </c>
      <c r="BI11" t="s">
        <v>69</v>
      </c>
      <c r="BJ11" t="s">
        <v>148</v>
      </c>
      <c r="BK11" t="s">
        <v>69</v>
      </c>
      <c r="BL11">
        <v>132.119</v>
      </c>
      <c r="BM11" t="s">
        <v>69</v>
      </c>
      <c r="BN11" t="s">
        <v>69</v>
      </c>
      <c r="BO11">
        <v>437</v>
      </c>
      <c r="BP11" t="s">
        <v>119</v>
      </c>
      <c r="BQ11" t="s">
        <v>69</v>
      </c>
      <c r="BR11" t="s">
        <v>120</v>
      </c>
      <c r="BS11" t="s">
        <v>69</v>
      </c>
      <c r="BT11">
        <v>147.131</v>
      </c>
      <c r="BU11" t="s">
        <v>69</v>
      </c>
      <c r="BV11" t="s">
        <v>69</v>
      </c>
    </row>
    <row r="12" spans="1:74" x14ac:dyDescent="0.25">
      <c r="A12">
        <v>7</v>
      </c>
      <c r="B12" t="str">
        <f>HYPERLINK("http://www.ncbi.nlm.nih.gov/protein/XP_044119313.1","XP_044119313.1")</f>
        <v>XP_044119313.1</v>
      </c>
      <c r="C12">
        <v>44640</v>
      </c>
      <c r="D12" t="str">
        <f>HYPERLINK("http://www.ncbi.nlm.nih.gov/Taxonomy/Browser/wwwtax.cgi?mode=Info&amp;id=452646&amp;lvl=3&amp;lin=f&amp;keep=1&amp;srchmode=1&amp;unlock","452646")</f>
        <v>452646</v>
      </c>
      <c r="E12" t="s">
        <v>66</v>
      </c>
      <c r="F12" t="str">
        <f>HYPERLINK("http://www.ncbi.nlm.nih.gov/Taxonomy/Browser/wwwtax.cgi?mode=Info&amp;id=452646&amp;lvl=3&amp;lin=f&amp;keep=1&amp;srchmode=1&amp;unlock","Neogale vison")</f>
        <v>Neogale vison</v>
      </c>
      <c r="G12" t="s">
        <v>96</v>
      </c>
      <c r="H12" t="str">
        <f>HYPERLINK("http://www.ncbi.nlm.nih.gov/protein/XP_044119313.1","mitochondrial antiviral-signaling protein")</f>
        <v>mitochondrial antiviral-signaling protein</v>
      </c>
      <c r="I12" t="s">
        <v>263</v>
      </c>
      <c r="J12" t="s">
        <v>153</v>
      </c>
      <c r="K12">
        <v>430</v>
      </c>
      <c r="L12" t="s">
        <v>155</v>
      </c>
      <c r="M12" t="s">
        <v>153</v>
      </c>
      <c r="N12" t="s">
        <v>150</v>
      </c>
      <c r="O12" t="s">
        <v>153</v>
      </c>
      <c r="P12">
        <v>105.093</v>
      </c>
      <c r="Q12" t="s">
        <v>153</v>
      </c>
      <c r="R12" t="s">
        <v>153</v>
      </c>
      <c r="S12">
        <v>434</v>
      </c>
      <c r="T12" t="s">
        <v>73</v>
      </c>
      <c r="U12" t="s">
        <v>69</v>
      </c>
      <c r="V12" t="s">
        <v>71</v>
      </c>
      <c r="W12" t="s">
        <v>69</v>
      </c>
      <c r="X12">
        <v>89.093999999999994</v>
      </c>
      <c r="Y12" t="s">
        <v>69</v>
      </c>
      <c r="Z12" t="s">
        <v>69</v>
      </c>
      <c r="AA12">
        <v>435</v>
      </c>
      <c r="AB12" t="s">
        <v>72</v>
      </c>
      <c r="AC12" t="s">
        <v>153</v>
      </c>
      <c r="AD12" t="s">
        <v>71</v>
      </c>
      <c r="AE12" t="s">
        <v>69</v>
      </c>
      <c r="AF12">
        <v>131.17500000000001</v>
      </c>
      <c r="AG12" t="s">
        <v>69</v>
      </c>
      <c r="AH12" t="s">
        <v>69</v>
      </c>
      <c r="AI12">
        <v>436</v>
      </c>
      <c r="AJ12" t="s">
        <v>155</v>
      </c>
      <c r="AK12" t="s">
        <v>69</v>
      </c>
      <c r="AL12" t="s">
        <v>150</v>
      </c>
      <c r="AM12" t="s">
        <v>69</v>
      </c>
      <c r="AN12">
        <v>105.093</v>
      </c>
      <c r="AO12" t="s">
        <v>69</v>
      </c>
      <c r="AP12" t="s">
        <v>69</v>
      </c>
      <c r="AQ12">
        <v>450</v>
      </c>
      <c r="AR12" t="s">
        <v>119</v>
      </c>
      <c r="AS12" t="s">
        <v>69</v>
      </c>
      <c r="AT12" t="s">
        <v>120</v>
      </c>
      <c r="AU12" t="s">
        <v>69</v>
      </c>
      <c r="AV12">
        <v>147.131</v>
      </c>
      <c r="AW12" t="s">
        <v>69</v>
      </c>
      <c r="AX12" t="s">
        <v>69</v>
      </c>
      <c r="AY12">
        <v>451</v>
      </c>
      <c r="AZ12" t="s">
        <v>119</v>
      </c>
      <c r="BA12" t="s">
        <v>69</v>
      </c>
      <c r="BB12" t="s">
        <v>120</v>
      </c>
      <c r="BC12" t="s">
        <v>69</v>
      </c>
      <c r="BD12">
        <v>147.131</v>
      </c>
      <c r="BE12" t="s">
        <v>69</v>
      </c>
      <c r="BF12" t="s">
        <v>69</v>
      </c>
      <c r="BG12">
        <v>452</v>
      </c>
      <c r="BH12" t="s">
        <v>153</v>
      </c>
      <c r="BI12" t="s">
        <v>69</v>
      </c>
      <c r="BJ12" t="s">
        <v>148</v>
      </c>
      <c r="BK12" t="s">
        <v>69</v>
      </c>
      <c r="BL12">
        <v>132.119</v>
      </c>
      <c r="BM12" t="s">
        <v>69</v>
      </c>
      <c r="BN12" t="s">
        <v>69</v>
      </c>
      <c r="BO12">
        <v>453</v>
      </c>
      <c r="BP12" t="s">
        <v>119</v>
      </c>
      <c r="BQ12" t="s">
        <v>69</v>
      </c>
      <c r="BR12" t="s">
        <v>120</v>
      </c>
      <c r="BS12" t="s">
        <v>69</v>
      </c>
      <c r="BT12">
        <v>147.131</v>
      </c>
      <c r="BU12" t="s">
        <v>69</v>
      </c>
      <c r="BV12" t="s">
        <v>69</v>
      </c>
    </row>
    <row r="13" spans="1:74" x14ac:dyDescent="0.25">
      <c r="A13">
        <v>7</v>
      </c>
      <c r="B13" t="str">
        <f>HYPERLINK("http://www.ncbi.nlm.nih.gov/protein/XP_005672820.1","XP_005672820.1")</f>
        <v>XP_005672820.1</v>
      </c>
      <c r="C13">
        <v>86952</v>
      </c>
      <c r="D13" t="str">
        <f>HYPERLINK("http://www.ncbi.nlm.nih.gov/Taxonomy/Browser/wwwtax.cgi?mode=Info&amp;id=9823&amp;lvl=3&amp;lin=f&amp;keep=1&amp;srchmode=1&amp;unlock","9823")</f>
        <v>9823</v>
      </c>
      <c r="E13" t="s">
        <v>66</v>
      </c>
      <c r="F13" t="str">
        <f>HYPERLINK("http://www.ncbi.nlm.nih.gov/Taxonomy/Browser/wwwtax.cgi?mode=Info&amp;id=9823&amp;lvl=3&amp;lin=f&amp;keep=1&amp;srchmode=1&amp;unlock","Sus scrofa")</f>
        <v>Sus scrofa</v>
      </c>
      <c r="G13" t="s">
        <v>85</v>
      </c>
      <c r="H13" t="str">
        <f>HYPERLINK("http://www.ncbi.nlm.nih.gov/protein/XP_005672820.1","mitochondrial antiviral-signaling protein isoform X1")</f>
        <v>mitochondrial antiviral-signaling protein isoform X1</v>
      </c>
      <c r="I13" t="s">
        <v>263</v>
      </c>
      <c r="J13" t="s">
        <v>153</v>
      </c>
      <c r="K13">
        <v>426</v>
      </c>
      <c r="L13" t="s">
        <v>155</v>
      </c>
      <c r="M13" t="s">
        <v>153</v>
      </c>
      <c r="N13" t="s">
        <v>150</v>
      </c>
      <c r="O13" t="s">
        <v>153</v>
      </c>
      <c r="P13">
        <v>105.093</v>
      </c>
      <c r="Q13" t="s">
        <v>153</v>
      </c>
      <c r="R13" t="s">
        <v>153</v>
      </c>
      <c r="S13">
        <v>430</v>
      </c>
      <c r="T13" t="s">
        <v>73</v>
      </c>
      <c r="U13" t="s">
        <v>69</v>
      </c>
      <c r="V13" t="s">
        <v>71</v>
      </c>
      <c r="W13" t="s">
        <v>69</v>
      </c>
      <c r="X13">
        <v>89.093999999999994</v>
      </c>
      <c r="Y13" t="s">
        <v>69</v>
      </c>
      <c r="Z13" t="s">
        <v>69</v>
      </c>
      <c r="AA13">
        <v>431</v>
      </c>
      <c r="AB13" t="s">
        <v>145</v>
      </c>
      <c r="AC13" t="s">
        <v>69</v>
      </c>
      <c r="AD13" t="s">
        <v>71</v>
      </c>
      <c r="AE13" t="s">
        <v>69</v>
      </c>
      <c r="AF13">
        <v>131.17500000000001</v>
      </c>
      <c r="AG13" t="s">
        <v>69</v>
      </c>
      <c r="AH13" t="s">
        <v>69</v>
      </c>
      <c r="AI13">
        <v>432</v>
      </c>
      <c r="AJ13" t="s">
        <v>155</v>
      </c>
      <c r="AK13" t="s">
        <v>69</v>
      </c>
      <c r="AL13" t="s">
        <v>150</v>
      </c>
      <c r="AM13" t="s">
        <v>69</v>
      </c>
      <c r="AN13">
        <v>105.093</v>
      </c>
      <c r="AO13" t="s">
        <v>69</v>
      </c>
      <c r="AP13" t="s">
        <v>69</v>
      </c>
      <c r="AQ13">
        <v>446</v>
      </c>
      <c r="AR13" t="s">
        <v>119</v>
      </c>
      <c r="AS13" t="s">
        <v>69</v>
      </c>
      <c r="AT13" t="s">
        <v>120</v>
      </c>
      <c r="AU13" t="s">
        <v>69</v>
      </c>
      <c r="AV13">
        <v>147.131</v>
      </c>
      <c r="AW13" t="s">
        <v>69</v>
      </c>
      <c r="AX13" t="s">
        <v>69</v>
      </c>
      <c r="AY13">
        <v>447</v>
      </c>
      <c r="AZ13" t="s">
        <v>119</v>
      </c>
      <c r="BA13" t="s">
        <v>69</v>
      </c>
      <c r="BB13" t="s">
        <v>120</v>
      </c>
      <c r="BC13" t="s">
        <v>69</v>
      </c>
      <c r="BD13">
        <v>147.131</v>
      </c>
      <c r="BE13" t="s">
        <v>69</v>
      </c>
      <c r="BF13" t="s">
        <v>69</v>
      </c>
      <c r="BG13">
        <v>448</v>
      </c>
      <c r="BH13" t="s">
        <v>153</v>
      </c>
      <c r="BI13" t="s">
        <v>69</v>
      </c>
      <c r="BJ13" t="s">
        <v>148</v>
      </c>
      <c r="BK13" t="s">
        <v>69</v>
      </c>
      <c r="BL13">
        <v>132.119</v>
      </c>
      <c r="BM13" t="s">
        <v>69</v>
      </c>
      <c r="BN13" t="s">
        <v>69</v>
      </c>
      <c r="BO13">
        <v>449</v>
      </c>
      <c r="BP13" t="s">
        <v>119</v>
      </c>
      <c r="BQ13" t="s">
        <v>69</v>
      </c>
      <c r="BR13" t="s">
        <v>120</v>
      </c>
      <c r="BS13" t="s">
        <v>69</v>
      </c>
      <c r="BT13">
        <v>147.131</v>
      </c>
      <c r="BU13" t="s">
        <v>69</v>
      </c>
      <c r="BV13" t="s">
        <v>69</v>
      </c>
    </row>
    <row r="14" spans="1:74" x14ac:dyDescent="0.25">
      <c r="A14">
        <v>7</v>
      </c>
      <c r="B14" t="str">
        <f>HYPERLINK("http://www.ncbi.nlm.nih.gov/protein/XP_042836779.1","XP_042836779.1")</f>
        <v>XP_042836779.1</v>
      </c>
      <c r="C14">
        <v>56089</v>
      </c>
      <c r="D14" t="str">
        <f>HYPERLINK("http://www.ncbi.nlm.nih.gov/Taxonomy/Browser/wwwtax.cgi?mode=Info&amp;id=9694&amp;lvl=3&amp;lin=f&amp;keep=1&amp;srchmode=1&amp;unlock","9694")</f>
        <v>9694</v>
      </c>
      <c r="E14" t="s">
        <v>66</v>
      </c>
      <c r="F14" t="str">
        <f>HYPERLINK("http://www.ncbi.nlm.nih.gov/Taxonomy/Browser/wwwtax.cgi?mode=Info&amp;id=9694&amp;lvl=3&amp;lin=f&amp;keep=1&amp;srchmode=1&amp;unlock","Panthera tigris")</f>
        <v>Panthera tigris</v>
      </c>
      <c r="G14" t="s">
        <v>89</v>
      </c>
      <c r="H14" t="str">
        <f>HYPERLINK("http://www.ncbi.nlm.nih.gov/protein/XP_042836779.1","mitochondrial antiviral-signaling protein isoform X2")</f>
        <v>mitochondrial antiviral-signaling protein isoform X2</v>
      </c>
      <c r="I14" t="s">
        <v>263</v>
      </c>
      <c r="J14" t="s">
        <v>153</v>
      </c>
      <c r="K14">
        <v>431</v>
      </c>
      <c r="L14" t="s">
        <v>155</v>
      </c>
      <c r="M14" t="s">
        <v>153</v>
      </c>
      <c r="N14" t="s">
        <v>150</v>
      </c>
      <c r="O14" t="s">
        <v>153</v>
      </c>
      <c r="P14">
        <v>105.093</v>
      </c>
      <c r="Q14" t="s">
        <v>153</v>
      </c>
      <c r="R14" t="s">
        <v>153</v>
      </c>
      <c r="S14">
        <v>435</v>
      </c>
      <c r="T14" t="s">
        <v>73</v>
      </c>
      <c r="U14" t="s">
        <v>69</v>
      </c>
      <c r="V14" t="s">
        <v>71</v>
      </c>
      <c r="W14" t="s">
        <v>69</v>
      </c>
      <c r="X14">
        <v>89.093999999999994</v>
      </c>
      <c r="Y14" t="s">
        <v>69</v>
      </c>
      <c r="Z14" t="s">
        <v>69</v>
      </c>
      <c r="AA14">
        <v>436</v>
      </c>
      <c r="AB14" t="s">
        <v>72</v>
      </c>
      <c r="AC14" t="s">
        <v>153</v>
      </c>
      <c r="AD14" t="s">
        <v>71</v>
      </c>
      <c r="AE14" t="s">
        <v>69</v>
      </c>
      <c r="AF14">
        <v>131.17500000000001</v>
      </c>
      <c r="AG14" t="s">
        <v>69</v>
      </c>
      <c r="AH14" t="s">
        <v>69</v>
      </c>
      <c r="AI14">
        <v>437</v>
      </c>
      <c r="AJ14" t="s">
        <v>155</v>
      </c>
      <c r="AK14" t="s">
        <v>69</v>
      </c>
      <c r="AL14" t="s">
        <v>150</v>
      </c>
      <c r="AM14" t="s">
        <v>69</v>
      </c>
      <c r="AN14">
        <v>105.093</v>
      </c>
      <c r="AO14" t="s">
        <v>69</v>
      </c>
      <c r="AP14" t="s">
        <v>69</v>
      </c>
      <c r="AQ14">
        <v>451</v>
      </c>
      <c r="AR14" t="s">
        <v>119</v>
      </c>
      <c r="AS14" t="s">
        <v>69</v>
      </c>
      <c r="AT14" t="s">
        <v>120</v>
      </c>
      <c r="AU14" t="s">
        <v>69</v>
      </c>
      <c r="AV14">
        <v>147.131</v>
      </c>
      <c r="AW14" t="s">
        <v>69</v>
      </c>
      <c r="AX14" t="s">
        <v>69</v>
      </c>
      <c r="AY14">
        <v>452</v>
      </c>
      <c r="AZ14" t="s">
        <v>119</v>
      </c>
      <c r="BA14" t="s">
        <v>69</v>
      </c>
      <c r="BB14" t="s">
        <v>120</v>
      </c>
      <c r="BC14" t="s">
        <v>69</v>
      </c>
      <c r="BD14">
        <v>147.131</v>
      </c>
      <c r="BE14" t="s">
        <v>69</v>
      </c>
      <c r="BF14" t="s">
        <v>69</v>
      </c>
      <c r="BG14">
        <v>453</v>
      </c>
      <c r="BH14" t="s">
        <v>153</v>
      </c>
      <c r="BI14" t="s">
        <v>69</v>
      </c>
      <c r="BJ14" t="s">
        <v>148</v>
      </c>
      <c r="BK14" t="s">
        <v>69</v>
      </c>
      <c r="BL14">
        <v>132.119</v>
      </c>
      <c r="BM14" t="s">
        <v>69</v>
      </c>
      <c r="BN14" t="s">
        <v>69</v>
      </c>
      <c r="BO14">
        <v>454</v>
      </c>
      <c r="BP14" t="s">
        <v>119</v>
      </c>
      <c r="BQ14" t="s">
        <v>69</v>
      </c>
      <c r="BR14" t="s">
        <v>120</v>
      </c>
      <c r="BS14" t="s">
        <v>69</v>
      </c>
      <c r="BT14">
        <v>147.131</v>
      </c>
      <c r="BU14" t="s">
        <v>69</v>
      </c>
      <c r="BV14" t="s">
        <v>69</v>
      </c>
    </row>
    <row r="15" spans="1:74" x14ac:dyDescent="0.25">
      <c r="A15">
        <v>7</v>
      </c>
      <c r="B15" t="str">
        <f>HYPERLINK("http://www.ncbi.nlm.nih.gov/protein/XP_004772901.1","XP_004772901.1")</f>
        <v>XP_004772901.1</v>
      </c>
      <c r="C15">
        <v>58003</v>
      </c>
      <c r="D15" t="str">
        <f>HYPERLINK("http://www.ncbi.nlm.nih.gov/Taxonomy/Browser/wwwtax.cgi?mode=Info&amp;id=9669&amp;lvl=3&amp;lin=f&amp;keep=1&amp;srchmode=1&amp;unlock","9669")</f>
        <v>9669</v>
      </c>
      <c r="E15" t="s">
        <v>66</v>
      </c>
      <c r="F15" t="str">
        <f>HYPERLINK("http://www.ncbi.nlm.nih.gov/Taxonomy/Browser/wwwtax.cgi?mode=Info&amp;id=9669&amp;lvl=3&amp;lin=f&amp;keep=1&amp;srchmode=1&amp;unlock","Mustela putorius furo")</f>
        <v>Mustela putorius furo</v>
      </c>
      <c r="G15" t="s">
        <v>98</v>
      </c>
      <c r="H15" t="str">
        <f>HYPERLINK("http://www.ncbi.nlm.nih.gov/protein/XP_004772901.1","mitochondrial antiviral-signaling protein isoform X1")</f>
        <v>mitochondrial antiviral-signaling protein isoform X1</v>
      </c>
      <c r="I15" t="s">
        <v>263</v>
      </c>
      <c r="J15" t="s">
        <v>153</v>
      </c>
      <c r="K15">
        <v>430</v>
      </c>
      <c r="L15" t="s">
        <v>155</v>
      </c>
      <c r="M15" t="s">
        <v>153</v>
      </c>
      <c r="N15" t="s">
        <v>150</v>
      </c>
      <c r="O15" t="s">
        <v>153</v>
      </c>
      <c r="P15">
        <v>105.093</v>
      </c>
      <c r="Q15" t="s">
        <v>153</v>
      </c>
      <c r="R15" t="s">
        <v>153</v>
      </c>
      <c r="S15">
        <v>434</v>
      </c>
      <c r="T15" t="s">
        <v>73</v>
      </c>
      <c r="U15" t="s">
        <v>69</v>
      </c>
      <c r="V15" t="s">
        <v>71</v>
      </c>
      <c r="W15" t="s">
        <v>69</v>
      </c>
      <c r="X15">
        <v>89.093999999999994</v>
      </c>
      <c r="Y15" t="s">
        <v>69</v>
      </c>
      <c r="Z15" t="s">
        <v>69</v>
      </c>
      <c r="AA15">
        <v>435</v>
      </c>
      <c r="AB15" t="s">
        <v>72</v>
      </c>
      <c r="AC15" t="s">
        <v>153</v>
      </c>
      <c r="AD15" t="s">
        <v>71</v>
      </c>
      <c r="AE15" t="s">
        <v>69</v>
      </c>
      <c r="AF15">
        <v>131.17500000000001</v>
      </c>
      <c r="AG15" t="s">
        <v>69</v>
      </c>
      <c r="AH15" t="s">
        <v>69</v>
      </c>
      <c r="AI15">
        <v>436</v>
      </c>
      <c r="AJ15" t="s">
        <v>155</v>
      </c>
      <c r="AK15" t="s">
        <v>69</v>
      </c>
      <c r="AL15" t="s">
        <v>150</v>
      </c>
      <c r="AM15" t="s">
        <v>69</v>
      </c>
      <c r="AN15">
        <v>105.093</v>
      </c>
      <c r="AO15" t="s">
        <v>69</v>
      </c>
      <c r="AP15" t="s">
        <v>69</v>
      </c>
      <c r="AQ15">
        <v>450</v>
      </c>
      <c r="AR15" t="s">
        <v>119</v>
      </c>
      <c r="AS15" t="s">
        <v>69</v>
      </c>
      <c r="AT15" t="s">
        <v>120</v>
      </c>
      <c r="AU15" t="s">
        <v>69</v>
      </c>
      <c r="AV15">
        <v>147.131</v>
      </c>
      <c r="AW15" t="s">
        <v>69</v>
      </c>
      <c r="AX15" t="s">
        <v>69</v>
      </c>
      <c r="AY15">
        <v>451</v>
      </c>
      <c r="AZ15" t="s">
        <v>119</v>
      </c>
      <c r="BA15" t="s">
        <v>69</v>
      </c>
      <c r="BB15" t="s">
        <v>120</v>
      </c>
      <c r="BC15" t="s">
        <v>69</v>
      </c>
      <c r="BD15">
        <v>147.131</v>
      </c>
      <c r="BE15" t="s">
        <v>69</v>
      </c>
      <c r="BF15" t="s">
        <v>69</v>
      </c>
      <c r="BG15">
        <v>452</v>
      </c>
      <c r="BH15" t="s">
        <v>153</v>
      </c>
      <c r="BI15" t="s">
        <v>69</v>
      </c>
      <c r="BJ15" t="s">
        <v>148</v>
      </c>
      <c r="BK15" t="s">
        <v>69</v>
      </c>
      <c r="BL15">
        <v>132.119</v>
      </c>
      <c r="BM15" t="s">
        <v>69</v>
      </c>
      <c r="BN15" t="s">
        <v>69</v>
      </c>
      <c r="BO15">
        <v>453</v>
      </c>
      <c r="BP15" t="s">
        <v>119</v>
      </c>
      <c r="BQ15" t="s">
        <v>69</v>
      </c>
      <c r="BR15" t="s">
        <v>120</v>
      </c>
      <c r="BS15" t="s">
        <v>69</v>
      </c>
      <c r="BT15">
        <v>147.131</v>
      </c>
      <c r="BU15" t="s">
        <v>69</v>
      </c>
      <c r="BV15" t="s">
        <v>69</v>
      </c>
    </row>
    <row r="16" spans="1:74" x14ac:dyDescent="0.25">
      <c r="A16">
        <v>7</v>
      </c>
      <c r="B16" t="str">
        <f>HYPERLINK("http://www.ncbi.nlm.nih.gov/protein/XP_042787459.1","XP_042787459.1")</f>
        <v>XP_042787459.1</v>
      </c>
      <c r="C16">
        <v>53677</v>
      </c>
      <c r="D16" t="str">
        <f>HYPERLINK("http://www.ncbi.nlm.nih.gov/Taxonomy/Browser/wwwtax.cgi?mode=Info&amp;id=9689&amp;lvl=3&amp;lin=f&amp;keep=1&amp;srchmode=1&amp;unlock","9689")</f>
        <v>9689</v>
      </c>
      <c r="E16" t="s">
        <v>66</v>
      </c>
      <c r="F16" t="str">
        <f>HYPERLINK("http://www.ncbi.nlm.nih.gov/Taxonomy/Browser/wwwtax.cgi?mode=Info&amp;id=9689&amp;lvl=3&amp;lin=f&amp;keep=1&amp;srchmode=1&amp;unlock","Panthera leo")</f>
        <v>Panthera leo</v>
      </c>
      <c r="G16" t="s">
        <v>90</v>
      </c>
      <c r="H16" t="str">
        <f>HYPERLINK("http://www.ncbi.nlm.nih.gov/protein/XP_042787459.1","mitochondrial antiviral-signaling protein isoform X2")</f>
        <v>mitochondrial antiviral-signaling protein isoform X2</v>
      </c>
      <c r="I16" t="s">
        <v>263</v>
      </c>
      <c r="J16" t="s">
        <v>153</v>
      </c>
      <c r="K16">
        <v>431</v>
      </c>
      <c r="L16" t="s">
        <v>155</v>
      </c>
      <c r="M16" t="s">
        <v>153</v>
      </c>
      <c r="N16" t="s">
        <v>150</v>
      </c>
      <c r="O16" t="s">
        <v>153</v>
      </c>
      <c r="P16">
        <v>105.093</v>
      </c>
      <c r="Q16" t="s">
        <v>153</v>
      </c>
      <c r="R16" t="s">
        <v>153</v>
      </c>
      <c r="S16">
        <v>435</v>
      </c>
      <c r="T16" t="s">
        <v>73</v>
      </c>
      <c r="U16" t="s">
        <v>69</v>
      </c>
      <c r="V16" t="s">
        <v>71</v>
      </c>
      <c r="W16" t="s">
        <v>69</v>
      </c>
      <c r="X16">
        <v>89.093999999999994</v>
      </c>
      <c r="Y16" t="s">
        <v>69</v>
      </c>
      <c r="Z16" t="s">
        <v>69</v>
      </c>
      <c r="AA16">
        <v>436</v>
      </c>
      <c r="AB16" t="s">
        <v>72</v>
      </c>
      <c r="AC16" t="s">
        <v>153</v>
      </c>
      <c r="AD16" t="s">
        <v>71</v>
      </c>
      <c r="AE16" t="s">
        <v>69</v>
      </c>
      <c r="AF16">
        <v>131.17500000000001</v>
      </c>
      <c r="AG16" t="s">
        <v>69</v>
      </c>
      <c r="AH16" t="s">
        <v>69</v>
      </c>
      <c r="AI16">
        <v>437</v>
      </c>
      <c r="AJ16" t="s">
        <v>155</v>
      </c>
      <c r="AK16" t="s">
        <v>69</v>
      </c>
      <c r="AL16" t="s">
        <v>150</v>
      </c>
      <c r="AM16" t="s">
        <v>69</v>
      </c>
      <c r="AN16">
        <v>105.093</v>
      </c>
      <c r="AO16" t="s">
        <v>69</v>
      </c>
      <c r="AP16" t="s">
        <v>69</v>
      </c>
      <c r="AQ16">
        <v>451</v>
      </c>
      <c r="AR16" t="s">
        <v>119</v>
      </c>
      <c r="AS16" t="s">
        <v>69</v>
      </c>
      <c r="AT16" t="s">
        <v>120</v>
      </c>
      <c r="AU16" t="s">
        <v>69</v>
      </c>
      <c r="AV16">
        <v>147.131</v>
      </c>
      <c r="AW16" t="s">
        <v>69</v>
      </c>
      <c r="AX16" t="s">
        <v>69</v>
      </c>
      <c r="AY16">
        <v>452</v>
      </c>
      <c r="AZ16" t="s">
        <v>119</v>
      </c>
      <c r="BA16" t="s">
        <v>69</v>
      </c>
      <c r="BB16" t="s">
        <v>120</v>
      </c>
      <c r="BC16" t="s">
        <v>69</v>
      </c>
      <c r="BD16">
        <v>147.131</v>
      </c>
      <c r="BE16" t="s">
        <v>69</v>
      </c>
      <c r="BF16" t="s">
        <v>69</v>
      </c>
      <c r="BG16">
        <v>453</v>
      </c>
      <c r="BH16" t="s">
        <v>153</v>
      </c>
      <c r="BI16" t="s">
        <v>69</v>
      </c>
      <c r="BJ16" t="s">
        <v>148</v>
      </c>
      <c r="BK16" t="s">
        <v>69</v>
      </c>
      <c r="BL16">
        <v>132.119</v>
      </c>
      <c r="BM16" t="s">
        <v>69</v>
      </c>
      <c r="BN16" t="s">
        <v>69</v>
      </c>
      <c r="BO16">
        <v>454</v>
      </c>
      <c r="BP16" t="s">
        <v>119</v>
      </c>
      <c r="BQ16" t="s">
        <v>69</v>
      </c>
      <c r="BR16" t="s">
        <v>120</v>
      </c>
      <c r="BS16" t="s">
        <v>69</v>
      </c>
      <c r="BT16">
        <v>147.131</v>
      </c>
      <c r="BU16" t="s">
        <v>69</v>
      </c>
      <c r="BV16" t="s">
        <v>69</v>
      </c>
    </row>
    <row r="17" spans="1:74" x14ac:dyDescent="0.25">
      <c r="A17">
        <v>7</v>
      </c>
      <c r="B17" t="str">
        <f>HYPERLINK("http://www.ncbi.nlm.nih.gov/protein/XP_030165864.1","XP_030165864.1")</f>
        <v>XP_030165864.1</v>
      </c>
      <c r="C17">
        <v>42175</v>
      </c>
      <c r="D17" t="str">
        <f>HYPERLINK("http://www.ncbi.nlm.nih.gov/Taxonomy/Browser/wwwtax.cgi?mode=Info&amp;id=61383&amp;lvl=3&amp;lin=f&amp;keep=1&amp;srchmode=1&amp;unlock","61383")</f>
        <v>61383</v>
      </c>
      <c r="E17" t="s">
        <v>66</v>
      </c>
      <c r="F17" t="str">
        <f>HYPERLINK("http://www.ncbi.nlm.nih.gov/Taxonomy/Browser/wwwtax.cgi?mode=Info&amp;id=61383&amp;lvl=3&amp;lin=f&amp;keep=1&amp;srchmode=1&amp;unlock","Lynx canadensis")</f>
        <v>Lynx canadensis</v>
      </c>
      <c r="G17" t="s">
        <v>105</v>
      </c>
      <c r="H17" t="str">
        <f>HYPERLINK("http://www.ncbi.nlm.nih.gov/protein/XP_030165864.1","mitochondrial antiviral-signaling protein isoform X4")</f>
        <v>mitochondrial antiviral-signaling protein isoform X4</v>
      </c>
      <c r="I17" t="s">
        <v>263</v>
      </c>
      <c r="J17" t="s">
        <v>153</v>
      </c>
      <c r="K17">
        <v>431</v>
      </c>
      <c r="L17" t="s">
        <v>155</v>
      </c>
      <c r="M17" t="s">
        <v>153</v>
      </c>
      <c r="N17" t="s">
        <v>150</v>
      </c>
      <c r="O17" t="s">
        <v>153</v>
      </c>
      <c r="P17">
        <v>105.093</v>
      </c>
      <c r="Q17" t="s">
        <v>153</v>
      </c>
      <c r="R17" t="s">
        <v>153</v>
      </c>
      <c r="S17">
        <v>435</v>
      </c>
      <c r="T17" t="s">
        <v>73</v>
      </c>
      <c r="U17" t="s">
        <v>69</v>
      </c>
      <c r="V17" t="s">
        <v>71</v>
      </c>
      <c r="W17" t="s">
        <v>69</v>
      </c>
      <c r="X17">
        <v>89.093999999999994</v>
      </c>
      <c r="Y17" t="s">
        <v>69</v>
      </c>
      <c r="Z17" t="s">
        <v>69</v>
      </c>
      <c r="AA17">
        <v>436</v>
      </c>
      <c r="AB17" t="s">
        <v>72</v>
      </c>
      <c r="AC17" t="s">
        <v>153</v>
      </c>
      <c r="AD17" t="s">
        <v>71</v>
      </c>
      <c r="AE17" t="s">
        <v>69</v>
      </c>
      <c r="AF17">
        <v>131.17500000000001</v>
      </c>
      <c r="AG17" t="s">
        <v>69</v>
      </c>
      <c r="AH17" t="s">
        <v>69</v>
      </c>
      <c r="AI17">
        <v>437</v>
      </c>
      <c r="AJ17" t="s">
        <v>155</v>
      </c>
      <c r="AK17" t="s">
        <v>69</v>
      </c>
      <c r="AL17" t="s">
        <v>150</v>
      </c>
      <c r="AM17" t="s">
        <v>69</v>
      </c>
      <c r="AN17">
        <v>105.093</v>
      </c>
      <c r="AO17" t="s">
        <v>69</v>
      </c>
      <c r="AP17" t="s">
        <v>69</v>
      </c>
      <c r="AQ17">
        <v>451</v>
      </c>
      <c r="AR17" t="s">
        <v>119</v>
      </c>
      <c r="AS17" t="s">
        <v>69</v>
      </c>
      <c r="AT17" t="s">
        <v>120</v>
      </c>
      <c r="AU17" t="s">
        <v>69</v>
      </c>
      <c r="AV17">
        <v>147.131</v>
      </c>
      <c r="AW17" t="s">
        <v>69</v>
      </c>
      <c r="AX17" t="s">
        <v>69</v>
      </c>
      <c r="AY17">
        <v>452</v>
      </c>
      <c r="AZ17" t="s">
        <v>119</v>
      </c>
      <c r="BA17" t="s">
        <v>69</v>
      </c>
      <c r="BB17" t="s">
        <v>120</v>
      </c>
      <c r="BC17" t="s">
        <v>69</v>
      </c>
      <c r="BD17">
        <v>147.131</v>
      </c>
      <c r="BE17" t="s">
        <v>69</v>
      </c>
      <c r="BF17" t="s">
        <v>69</v>
      </c>
      <c r="BG17">
        <v>453</v>
      </c>
      <c r="BH17" t="s">
        <v>153</v>
      </c>
      <c r="BI17" t="s">
        <v>69</v>
      </c>
      <c r="BJ17" t="s">
        <v>148</v>
      </c>
      <c r="BK17" t="s">
        <v>69</v>
      </c>
      <c r="BL17">
        <v>132.119</v>
      </c>
      <c r="BM17" t="s">
        <v>69</v>
      </c>
      <c r="BN17" t="s">
        <v>69</v>
      </c>
      <c r="BO17">
        <v>454</v>
      </c>
      <c r="BP17" t="s">
        <v>119</v>
      </c>
      <c r="BQ17" t="s">
        <v>69</v>
      </c>
      <c r="BR17" t="s">
        <v>120</v>
      </c>
      <c r="BS17" t="s">
        <v>69</v>
      </c>
      <c r="BT17">
        <v>147.131</v>
      </c>
      <c r="BU17" t="s">
        <v>69</v>
      </c>
      <c r="BV17" t="s">
        <v>69</v>
      </c>
    </row>
    <row r="18" spans="1:74" x14ac:dyDescent="0.25">
      <c r="A18">
        <v>7</v>
      </c>
      <c r="B18" t="str">
        <f>HYPERLINK("http://www.ncbi.nlm.nih.gov/protein/XP_003983730.1","XP_003983730.1")</f>
        <v>XP_003983730.1</v>
      </c>
      <c r="C18">
        <v>74287</v>
      </c>
      <c r="D18" t="str">
        <f>HYPERLINK("http://www.ncbi.nlm.nih.gov/Taxonomy/Browser/wwwtax.cgi?mode=Info&amp;id=9685&amp;lvl=3&amp;lin=f&amp;keep=1&amp;srchmode=1&amp;unlock","9685")</f>
        <v>9685</v>
      </c>
      <c r="E18" t="s">
        <v>66</v>
      </c>
      <c r="F18" t="str">
        <f>HYPERLINK("http://www.ncbi.nlm.nih.gov/Taxonomy/Browser/wwwtax.cgi?mode=Info&amp;id=9685&amp;lvl=3&amp;lin=f&amp;keep=1&amp;srchmode=1&amp;unlock","Felis catus")</f>
        <v>Felis catus</v>
      </c>
      <c r="G18" t="s">
        <v>86</v>
      </c>
      <c r="H18" t="str">
        <f>HYPERLINK("http://www.ncbi.nlm.nih.gov/protein/XP_003983730.1","mitochondrial antiviral-signaling protein isoform X1")</f>
        <v>mitochondrial antiviral-signaling protein isoform X1</v>
      </c>
      <c r="I18" t="s">
        <v>263</v>
      </c>
      <c r="J18" t="s">
        <v>153</v>
      </c>
      <c r="K18">
        <v>431</v>
      </c>
      <c r="L18" t="s">
        <v>155</v>
      </c>
      <c r="M18" t="s">
        <v>153</v>
      </c>
      <c r="N18" t="s">
        <v>150</v>
      </c>
      <c r="O18" t="s">
        <v>153</v>
      </c>
      <c r="P18">
        <v>105.093</v>
      </c>
      <c r="Q18" t="s">
        <v>153</v>
      </c>
      <c r="R18" t="s">
        <v>153</v>
      </c>
      <c r="S18">
        <v>435</v>
      </c>
      <c r="T18" t="s">
        <v>73</v>
      </c>
      <c r="U18" t="s">
        <v>69</v>
      </c>
      <c r="V18" t="s">
        <v>71</v>
      </c>
      <c r="W18" t="s">
        <v>69</v>
      </c>
      <c r="X18">
        <v>89.093999999999994</v>
      </c>
      <c r="Y18" t="s">
        <v>69</v>
      </c>
      <c r="Z18" t="s">
        <v>69</v>
      </c>
      <c r="AA18">
        <v>436</v>
      </c>
      <c r="AB18" t="s">
        <v>72</v>
      </c>
      <c r="AC18" t="s">
        <v>153</v>
      </c>
      <c r="AD18" t="s">
        <v>71</v>
      </c>
      <c r="AE18" t="s">
        <v>69</v>
      </c>
      <c r="AF18">
        <v>131.17500000000001</v>
      </c>
      <c r="AG18" t="s">
        <v>69</v>
      </c>
      <c r="AH18" t="s">
        <v>69</v>
      </c>
      <c r="AI18">
        <v>437</v>
      </c>
      <c r="AJ18" t="s">
        <v>155</v>
      </c>
      <c r="AK18" t="s">
        <v>69</v>
      </c>
      <c r="AL18" t="s">
        <v>150</v>
      </c>
      <c r="AM18" t="s">
        <v>69</v>
      </c>
      <c r="AN18">
        <v>105.093</v>
      </c>
      <c r="AO18" t="s">
        <v>69</v>
      </c>
      <c r="AP18" t="s">
        <v>69</v>
      </c>
      <c r="AQ18">
        <v>451</v>
      </c>
      <c r="AR18" t="s">
        <v>119</v>
      </c>
      <c r="AS18" t="s">
        <v>69</v>
      </c>
      <c r="AT18" t="s">
        <v>120</v>
      </c>
      <c r="AU18" t="s">
        <v>69</v>
      </c>
      <c r="AV18">
        <v>147.131</v>
      </c>
      <c r="AW18" t="s">
        <v>69</v>
      </c>
      <c r="AX18" t="s">
        <v>69</v>
      </c>
      <c r="AY18">
        <v>452</v>
      </c>
      <c r="AZ18" t="s">
        <v>119</v>
      </c>
      <c r="BA18" t="s">
        <v>69</v>
      </c>
      <c r="BB18" t="s">
        <v>120</v>
      </c>
      <c r="BC18" t="s">
        <v>69</v>
      </c>
      <c r="BD18">
        <v>147.131</v>
      </c>
      <c r="BE18" t="s">
        <v>69</v>
      </c>
      <c r="BF18" t="s">
        <v>69</v>
      </c>
      <c r="BG18">
        <v>453</v>
      </c>
      <c r="BH18" t="s">
        <v>153</v>
      </c>
      <c r="BI18" t="s">
        <v>69</v>
      </c>
      <c r="BJ18" t="s">
        <v>148</v>
      </c>
      <c r="BK18" t="s">
        <v>69</v>
      </c>
      <c r="BL18">
        <v>132.119</v>
      </c>
      <c r="BM18" t="s">
        <v>69</v>
      </c>
      <c r="BN18" t="s">
        <v>69</v>
      </c>
      <c r="BO18">
        <v>454</v>
      </c>
      <c r="BP18" t="s">
        <v>119</v>
      </c>
      <c r="BQ18" t="s">
        <v>69</v>
      </c>
      <c r="BR18" t="s">
        <v>120</v>
      </c>
      <c r="BS18" t="s">
        <v>69</v>
      </c>
      <c r="BT18">
        <v>147.131</v>
      </c>
      <c r="BU18" t="s">
        <v>69</v>
      </c>
      <c r="BV18" t="s">
        <v>69</v>
      </c>
    </row>
    <row r="19" spans="1:74" x14ac:dyDescent="0.25">
      <c r="A19">
        <v>7</v>
      </c>
      <c r="B19" t="str">
        <f>HYPERLINK("http://www.ncbi.nlm.nih.gov/protein/XP_047708473.1","XP_047708473.1")</f>
        <v>XP_047708473.1</v>
      </c>
      <c r="C19">
        <v>56399</v>
      </c>
      <c r="D19" t="str">
        <f>HYPERLINK("http://www.ncbi.nlm.nih.gov/Taxonomy/Browser/wwwtax.cgi?mode=Info&amp;id=61388&amp;lvl=3&amp;lin=f&amp;keep=1&amp;srchmode=1&amp;unlock","61388")</f>
        <v>61388</v>
      </c>
      <c r="E19" t="s">
        <v>66</v>
      </c>
      <c r="F19" t="str">
        <f>HYPERLINK("http://www.ncbi.nlm.nih.gov/Taxonomy/Browser/wwwtax.cgi?mode=Info&amp;id=61388&amp;lvl=3&amp;lin=f&amp;keep=1&amp;srchmode=1&amp;unlock","Prionailurus viverrinus")</f>
        <v>Prionailurus viverrinus</v>
      </c>
      <c r="G19" t="s">
        <v>94</v>
      </c>
      <c r="H19" t="str">
        <f>HYPERLINK("http://www.ncbi.nlm.nih.gov/protein/XP_047708473.1","mitochondrial antiviral-signaling protein-like isoform X3")</f>
        <v>mitochondrial antiviral-signaling protein-like isoform X3</v>
      </c>
      <c r="I19" t="s">
        <v>263</v>
      </c>
      <c r="J19" t="s">
        <v>153</v>
      </c>
      <c r="K19">
        <v>431</v>
      </c>
      <c r="L19" t="s">
        <v>155</v>
      </c>
      <c r="M19" t="s">
        <v>153</v>
      </c>
      <c r="N19" t="s">
        <v>150</v>
      </c>
      <c r="O19" t="s">
        <v>153</v>
      </c>
      <c r="P19">
        <v>105.093</v>
      </c>
      <c r="Q19" t="s">
        <v>153</v>
      </c>
      <c r="R19" t="s">
        <v>153</v>
      </c>
      <c r="S19">
        <v>435</v>
      </c>
      <c r="T19" t="s">
        <v>73</v>
      </c>
      <c r="U19" t="s">
        <v>69</v>
      </c>
      <c r="V19" t="s">
        <v>71</v>
      </c>
      <c r="W19" t="s">
        <v>69</v>
      </c>
      <c r="X19">
        <v>89.093999999999994</v>
      </c>
      <c r="Y19" t="s">
        <v>69</v>
      </c>
      <c r="Z19" t="s">
        <v>69</v>
      </c>
      <c r="AA19">
        <v>436</v>
      </c>
      <c r="AB19" t="s">
        <v>72</v>
      </c>
      <c r="AC19" t="s">
        <v>153</v>
      </c>
      <c r="AD19" t="s">
        <v>71</v>
      </c>
      <c r="AE19" t="s">
        <v>69</v>
      </c>
      <c r="AF19">
        <v>131.17500000000001</v>
      </c>
      <c r="AG19" t="s">
        <v>69</v>
      </c>
      <c r="AH19" t="s">
        <v>69</v>
      </c>
      <c r="AI19">
        <v>437</v>
      </c>
      <c r="AJ19" t="s">
        <v>155</v>
      </c>
      <c r="AK19" t="s">
        <v>69</v>
      </c>
      <c r="AL19" t="s">
        <v>150</v>
      </c>
      <c r="AM19" t="s">
        <v>69</v>
      </c>
      <c r="AN19">
        <v>105.093</v>
      </c>
      <c r="AO19" t="s">
        <v>69</v>
      </c>
      <c r="AP19" t="s">
        <v>69</v>
      </c>
      <c r="AQ19">
        <v>451</v>
      </c>
      <c r="AR19" t="s">
        <v>119</v>
      </c>
      <c r="AS19" t="s">
        <v>69</v>
      </c>
      <c r="AT19" t="s">
        <v>120</v>
      </c>
      <c r="AU19" t="s">
        <v>69</v>
      </c>
      <c r="AV19">
        <v>147.131</v>
      </c>
      <c r="AW19" t="s">
        <v>69</v>
      </c>
      <c r="AX19" t="s">
        <v>69</v>
      </c>
      <c r="AY19">
        <v>452</v>
      </c>
      <c r="AZ19" t="s">
        <v>119</v>
      </c>
      <c r="BA19" t="s">
        <v>69</v>
      </c>
      <c r="BB19" t="s">
        <v>120</v>
      </c>
      <c r="BC19" t="s">
        <v>69</v>
      </c>
      <c r="BD19">
        <v>147.131</v>
      </c>
      <c r="BE19" t="s">
        <v>69</v>
      </c>
      <c r="BF19" t="s">
        <v>69</v>
      </c>
      <c r="BG19">
        <v>453</v>
      </c>
      <c r="BH19" t="s">
        <v>153</v>
      </c>
      <c r="BI19" t="s">
        <v>69</v>
      </c>
      <c r="BJ19" t="s">
        <v>148</v>
      </c>
      <c r="BK19" t="s">
        <v>69</v>
      </c>
      <c r="BL19">
        <v>132.119</v>
      </c>
      <c r="BM19" t="s">
        <v>69</v>
      </c>
      <c r="BN19" t="s">
        <v>69</v>
      </c>
      <c r="BO19">
        <v>454</v>
      </c>
      <c r="BP19" t="s">
        <v>119</v>
      </c>
      <c r="BQ19" t="s">
        <v>69</v>
      </c>
      <c r="BR19" t="s">
        <v>120</v>
      </c>
      <c r="BS19" t="s">
        <v>69</v>
      </c>
      <c r="BT19">
        <v>147.131</v>
      </c>
      <c r="BU19" t="s">
        <v>69</v>
      </c>
      <c r="BV19" t="s">
        <v>69</v>
      </c>
    </row>
    <row r="20" spans="1:74" x14ac:dyDescent="0.25">
      <c r="A20">
        <v>7</v>
      </c>
      <c r="B20" t="str">
        <f>HYPERLINK("http://www.ncbi.nlm.nih.gov/protein/XP_046924356.1","XP_046924356.1")</f>
        <v>XP_046924356.1</v>
      </c>
      <c r="C20">
        <v>38764</v>
      </c>
      <c r="D20" t="str">
        <f>HYPERLINK("http://www.ncbi.nlm.nih.gov/Taxonomy/Browser/wwwtax.cgi?mode=Info&amp;id=61384&amp;lvl=3&amp;lin=f&amp;keep=1&amp;srchmode=1&amp;unlock","61384")</f>
        <v>61384</v>
      </c>
      <c r="E20" t="s">
        <v>66</v>
      </c>
      <c r="F20" t="str">
        <f>HYPERLINK("http://www.ncbi.nlm.nih.gov/Taxonomy/Browser/wwwtax.cgi?mode=Info&amp;id=61384&amp;lvl=3&amp;lin=f&amp;keep=1&amp;srchmode=1&amp;unlock","Lynx rufus")</f>
        <v>Lynx rufus</v>
      </c>
      <c r="G20" t="s">
        <v>93</v>
      </c>
      <c r="H20" t="str">
        <f>HYPERLINK("http://www.ncbi.nlm.nih.gov/protein/XP_046924356.1","mitochondrial antiviral-signaling protein-like")</f>
        <v>mitochondrial antiviral-signaling protein-like</v>
      </c>
      <c r="I20" t="s">
        <v>263</v>
      </c>
      <c r="J20" t="s">
        <v>153</v>
      </c>
      <c r="K20">
        <v>431</v>
      </c>
      <c r="L20" t="s">
        <v>155</v>
      </c>
      <c r="M20" t="s">
        <v>153</v>
      </c>
      <c r="N20" t="s">
        <v>150</v>
      </c>
      <c r="O20" t="s">
        <v>153</v>
      </c>
      <c r="P20">
        <v>105.093</v>
      </c>
      <c r="Q20" t="s">
        <v>153</v>
      </c>
      <c r="R20" t="s">
        <v>153</v>
      </c>
      <c r="S20">
        <v>435</v>
      </c>
      <c r="T20" t="s">
        <v>73</v>
      </c>
      <c r="U20" t="s">
        <v>69</v>
      </c>
      <c r="V20" t="s">
        <v>71</v>
      </c>
      <c r="W20" t="s">
        <v>69</v>
      </c>
      <c r="X20">
        <v>89.093999999999994</v>
      </c>
      <c r="Y20" t="s">
        <v>69</v>
      </c>
      <c r="Z20" t="s">
        <v>69</v>
      </c>
      <c r="AA20">
        <v>436</v>
      </c>
      <c r="AB20" t="s">
        <v>72</v>
      </c>
      <c r="AC20" t="s">
        <v>153</v>
      </c>
      <c r="AD20" t="s">
        <v>71</v>
      </c>
      <c r="AE20" t="s">
        <v>69</v>
      </c>
      <c r="AF20">
        <v>131.17500000000001</v>
      </c>
      <c r="AG20" t="s">
        <v>69</v>
      </c>
      <c r="AH20" t="s">
        <v>69</v>
      </c>
      <c r="AI20">
        <v>437</v>
      </c>
      <c r="AJ20" t="s">
        <v>155</v>
      </c>
      <c r="AK20" t="s">
        <v>69</v>
      </c>
      <c r="AL20" t="s">
        <v>150</v>
      </c>
      <c r="AM20" t="s">
        <v>69</v>
      </c>
      <c r="AN20">
        <v>105.093</v>
      </c>
      <c r="AO20" t="s">
        <v>69</v>
      </c>
      <c r="AP20" t="s">
        <v>69</v>
      </c>
      <c r="AQ20">
        <v>451</v>
      </c>
      <c r="AR20" t="s">
        <v>119</v>
      </c>
      <c r="AS20" t="s">
        <v>69</v>
      </c>
      <c r="AT20" t="s">
        <v>120</v>
      </c>
      <c r="AU20" t="s">
        <v>69</v>
      </c>
      <c r="AV20">
        <v>147.131</v>
      </c>
      <c r="AW20" t="s">
        <v>69</v>
      </c>
      <c r="AX20" t="s">
        <v>69</v>
      </c>
      <c r="AY20">
        <v>452</v>
      </c>
      <c r="AZ20" t="s">
        <v>119</v>
      </c>
      <c r="BA20" t="s">
        <v>69</v>
      </c>
      <c r="BB20" t="s">
        <v>120</v>
      </c>
      <c r="BC20" t="s">
        <v>69</v>
      </c>
      <c r="BD20">
        <v>147.131</v>
      </c>
      <c r="BE20" t="s">
        <v>69</v>
      </c>
      <c r="BF20" t="s">
        <v>69</v>
      </c>
      <c r="BG20">
        <v>453</v>
      </c>
      <c r="BH20" t="s">
        <v>153</v>
      </c>
      <c r="BI20" t="s">
        <v>69</v>
      </c>
      <c r="BJ20" t="s">
        <v>148</v>
      </c>
      <c r="BK20" t="s">
        <v>69</v>
      </c>
      <c r="BL20">
        <v>132.119</v>
      </c>
      <c r="BM20" t="s">
        <v>69</v>
      </c>
      <c r="BN20" t="s">
        <v>69</v>
      </c>
      <c r="BO20">
        <v>454</v>
      </c>
      <c r="BP20" t="s">
        <v>119</v>
      </c>
      <c r="BQ20" t="s">
        <v>69</v>
      </c>
      <c r="BR20" t="s">
        <v>120</v>
      </c>
      <c r="BS20" t="s">
        <v>69</v>
      </c>
      <c r="BT20">
        <v>147.131</v>
      </c>
      <c r="BU20" t="s">
        <v>69</v>
      </c>
      <c r="BV20" t="s">
        <v>69</v>
      </c>
    </row>
    <row r="21" spans="1:74" x14ac:dyDescent="0.25">
      <c r="A21">
        <v>7</v>
      </c>
      <c r="B21" t="str">
        <f>HYPERLINK("http://www.ncbi.nlm.nih.gov/protein/XP_025788115.1","XP_025788115.1")</f>
        <v>XP_025788115.1</v>
      </c>
      <c r="C21">
        <v>23623</v>
      </c>
      <c r="D21" t="str">
        <f>HYPERLINK("http://www.ncbi.nlm.nih.gov/Taxonomy/Browser/wwwtax.cgi?mode=Info&amp;id=9696&amp;lvl=3&amp;lin=f&amp;keep=1&amp;srchmode=1&amp;unlock","9696")</f>
        <v>9696</v>
      </c>
      <c r="E21" t="s">
        <v>66</v>
      </c>
      <c r="F21" t="str">
        <f>HYPERLINK("http://www.ncbi.nlm.nih.gov/Taxonomy/Browser/wwwtax.cgi?mode=Info&amp;id=9696&amp;lvl=3&amp;lin=f&amp;keep=1&amp;srchmode=1&amp;unlock","Puma concolor")</f>
        <v>Puma concolor</v>
      </c>
      <c r="G21" t="s">
        <v>91</v>
      </c>
      <c r="H21" t="str">
        <f>HYPERLINK("http://www.ncbi.nlm.nih.gov/protein/XP_025788115.1","mitochondrial antiviral-signaling protein isoform X1")</f>
        <v>mitochondrial antiviral-signaling protein isoform X1</v>
      </c>
      <c r="I21" t="s">
        <v>263</v>
      </c>
      <c r="J21" t="s">
        <v>153</v>
      </c>
      <c r="K21">
        <v>431</v>
      </c>
      <c r="L21" t="s">
        <v>155</v>
      </c>
      <c r="M21" t="s">
        <v>153</v>
      </c>
      <c r="N21" t="s">
        <v>150</v>
      </c>
      <c r="O21" t="s">
        <v>153</v>
      </c>
      <c r="P21">
        <v>105.093</v>
      </c>
      <c r="Q21" t="s">
        <v>153</v>
      </c>
      <c r="R21" t="s">
        <v>153</v>
      </c>
      <c r="S21">
        <v>435</v>
      </c>
      <c r="T21" t="s">
        <v>73</v>
      </c>
      <c r="U21" t="s">
        <v>69</v>
      </c>
      <c r="V21" t="s">
        <v>71</v>
      </c>
      <c r="W21" t="s">
        <v>69</v>
      </c>
      <c r="X21">
        <v>89.093999999999994</v>
      </c>
      <c r="Y21" t="s">
        <v>69</v>
      </c>
      <c r="Z21" t="s">
        <v>69</v>
      </c>
      <c r="AA21">
        <v>436</v>
      </c>
      <c r="AB21" t="s">
        <v>72</v>
      </c>
      <c r="AC21" t="s">
        <v>153</v>
      </c>
      <c r="AD21" t="s">
        <v>71</v>
      </c>
      <c r="AE21" t="s">
        <v>69</v>
      </c>
      <c r="AF21">
        <v>131.17500000000001</v>
      </c>
      <c r="AG21" t="s">
        <v>69</v>
      </c>
      <c r="AH21" t="s">
        <v>69</v>
      </c>
      <c r="AI21">
        <v>437</v>
      </c>
      <c r="AJ21" t="s">
        <v>155</v>
      </c>
      <c r="AK21" t="s">
        <v>69</v>
      </c>
      <c r="AL21" t="s">
        <v>150</v>
      </c>
      <c r="AM21" t="s">
        <v>69</v>
      </c>
      <c r="AN21">
        <v>105.093</v>
      </c>
      <c r="AO21" t="s">
        <v>69</v>
      </c>
      <c r="AP21" t="s">
        <v>69</v>
      </c>
      <c r="AQ21">
        <v>451</v>
      </c>
      <c r="AR21" t="s">
        <v>119</v>
      </c>
      <c r="AS21" t="s">
        <v>69</v>
      </c>
      <c r="AT21" t="s">
        <v>120</v>
      </c>
      <c r="AU21" t="s">
        <v>69</v>
      </c>
      <c r="AV21">
        <v>147.131</v>
      </c>
      <c r="AW21" t="s">
        <v>69</v>
      </c>
      <c r="AX21" t="s">
        <v>69</v>
      </c>
      <c r="AY21">
        <v>452</v>
      </c>
      <c r="AZ21" t="s">
        <v>119</v>
      </c>
      <c r="BA21" t="s">
        <v>69</v>
      </c>
      <c r="BB21" t="s">
        <v>120</v>
      </c>
      <c r="BC21" t="s">
        <v>69</v>
      </c>
      <c r="BD21">
        <v>147.131</v>
      </c>
      <c r="BE21" t="s">
        <v>69</v>
      </c>
      <c r="BF21" t="s">
        <v>69</v>
      </c>
      <c r="BG21">
        <v>453</v>
      </c>
      <c r="BH21" t="s">
        <v>153</v>
      </c>
      <c r="BI21" t="s">
        <v>69</v>
      </c>
      <c r="BJ21" t="s">
        <v>148</v>
      </c>
      <c r="BK21" t="s">
        <v>69</v>
      </c>
      <c r="BL21">
        <v>132.119</v>
      </c>
      <c r="BM21" t="s">
        <v>69</v>
      </c>
      <c r="BN21" t="s">
        <v>69</v>
      </c>
      <c r="BO21">
        <v>454</v>
      </c>
      <c r="BP21" t="s">
        <v>119</v>
      </c>
      <c r="BQ21" t="s">
        <v>69</v>
      </c>
      <c r="BR21" t="s">
        <v>120</v>
      </c>
      <c r="BS21" t="s">
        <v>69</v>
      </c>
      <c r="BT21">
        <v>147.131</v>
      </c>
      <c r="BU21" t="s">
        <v>69</v>
      </c>
      <c r="BV21" t="s">
        <v>69</v>
      </c>
    </row>
    <row r="22" spans="1:74" x14ac:dyDescent="0.25">
      <c r="A22">
        <v>7</v>
      </c>
      <c r="B22" t="str">
        <f>HYPERLINK("http://www.ncbi.nlm.nih.gov/protein/NP_001116081.1","NP_001116081.1")</f>
        <v>NP_001116081.1</v>
      </c>
      <c r="C22">
        <v>136357</v>
      </c>
      <c r="D22" t="str">
        <f>HYPERLINK("http://www.ncbi.nlm.nih.gov/Taxonomy/Browser/wwwtax.cgi?mode=Info&amp;id=9615&amp;lvl=3&amp;lin=f&amp;keep=1&amp;srchmode=1&amp;unlock","9615")</f>
        <v>9615</v>
      </c>
      <c r="E22" t="s">
        <v>66</v>
      </c>
      <c r="F22" t="str">
        <f>HYPERLINK("http://www.ncbi.nlm.nih.gov/Taxonomy/Browser/wwwtax.cgi?mode=Info&amp;id=9615&amp;lvl=3&amp;lin=f&amp;keep=1&amp;srchmode=1&amp;unlock","Canis lupus familiaris")</f>
        <v>Canis lupus familiaris</v>
      </c>
      <c r="G22" t="s">
        <v>84</v>
      </c>
      <c r="H22" t="str">
        <f>HYPERLINK("http://www.ncbi.nlm.nih.gov/protein/NP_001116081.1","mitochondrial antiviral-signaling protein")</f>
        <v>mitochondrial antiviral-signaling protein</v>
      </c>
      <c r="I22" t="s">
        <v>263</v>
      </c>
      <c r="J22" t="s">
        <v>153</v>
      </c>
      <c r="K22">
        <v>426</v>
      </c>
      <c r="L22" t="s">
        <v>155</v>
      </c>
      <c r="M22" t="s">
        <v>153</v>
      </c>
      <c r="N22" t="s">
        <v>150</v>
      </c>
      <c r="O22" t="s">
        <v>153</v>
      </c>
      <c r="P22">
        <v>105.093</v>
      </c>
      <c r="Q22" t="s">
        <v>153</v>
      </c>
      <c r="R22" t="s">
        <v>153</v>
      </c>
      <c r="S22">
        <v>430</v>
      </c>
      <c r="T22" t="s">
        <v>73</v>
      </c>
      <c r="U22" t="s">
        <v>69</v>
      </c>
      <c r="V22" t="s">
        <v>71</v>
      </c>
      <c r="W22" t="s">
        <v>69</v>
      </c>
      <c r="X22">
        <v>89.093999999999994</v>
      </c>
      <c r="Y22" t="s">
        <v>69</v>
      </c>
      <c r="Z22" t="s">
        <v>69</v>
      </c>
      <c r="AA22">
        <v>431</v>
      </c>
      <c r="AB22" t="s">
        <v>72</v>
      </c>
      <c r="AC22" t="s">
        <v>153</v>
      </c>
      <c r="AD22" t="s">
        <v>71</v>
      </c>
      <c r="AE22" t="s">
        <v>69</v>
      </c>
      <c r="AF22">
        <v>131.17500000000001</v>
      </c>
      <c r="AG22" t="s">
        <v>69</v>
      </c>
      <c r="AH22" t="s">
        <v>69</v>
      </c>
      <c r="AI22">
        <v>432</v>
      </c>
      <c r="AJ22" t="s">
        <v>155</v>
      </c>
      <c r="AK22" t="s">
        <v>69</v>
      </c>
      <c r="AL22" t="s">
        <v>150</v>
      </c>
      <c r="AM22" t="s">
        <v>69</v>
      </c>
      <c r="AN22">
        <v>105.093</v>
      </c>
      <c r="AO22" t="s">
        <v>69</v>
      </c>
      <c r="AP22" t="s">
        <v>69</v>
      </c>
      <c r="AQ22">
        <v>446</v>
      </c>
      <c r="AR22" t="s">
        <v>119</v>
      </c>
      <c r="AS22" t="s">
        <v>69</v>
      </c>
      <c r="AT22" t="s">
        <v>120</v>
      </c>
      <c r="AU22" t="s">
        <v>69</v>
      </c>
      <c r="AV22">
        <v>147.131</v>
      </c>
      <c r="AW22" t="s">
        <v>69</v>
      </c>
      <c r="AX22" t="s">
        <v>69</v>
      </c>
      <c r="AY22">
        <v>447</v>
      </c>
      <c r="AZ22" t="s">
        <v>119</v>
      </c>
      <c r="BA22" t="s">
        <v>69</v>
      </c>
      <c r="BB22" t="s">
        <v>120</v>
      </c>
      <c r="BC22" t="s">
        <v>69</v>
      </c>
      <c r="BD22">
        <v>147.131</v>
      </c>
      <c r="BE22" t="s">
        <v>69</v>
      </c>
      <c r="BF22" t="s">
        <v>69</v>
      </c>
      <c r="BG22">
        <v>448</v>
      </c>
      <c r="BH22" t="s">
        <v>153</v>
      </c>
      <c r="BI22" t="s">
        <v>69</v>
      </c>
      <c r="BJ22" t="s">
        <v>148</v>
      </c>
      <c r="BK22" t="s">
        <v>69</v>
      </c>
      <c r="BL22">
        <v>132.119</v>
      </c>
      <c r="BM22" t="s">
        <v>69</v>
      </c>
      <c r="BN22" t="s">
        <v>69</v>
      </c>
      <c r="BO22">
        <v>449</v>
      </c>
      <c r="BP22" t="s">
        <v>119</v>
      </c>
      <c r="BQ22" t="s">
        <v>69</v>
      </c>
      <c r="BR22" t="s">
        <v>120</v>
      </c>
      <c r="BS22" t="s">
        <v>69</v>
      </c>
      <c r="BT22">
        <v>147.131</v>
      </c>
      <c r="BU22" t="s">
        <v>69</v>
      </c>
      <c r="BV22" t="s">
        <v>69</v>
      </c>
    </row>
    <row r="23" spans="1:74" x14ac:dyDescent="0.25">
      <c r="A23">
        <v>7</v>
      </c>
      <c r="B23" t="str">
        <f>HYPERLINK("http://www.ncbi.nlm.nih.gov/protein/XP_045837014.1","XP_045837014.1")</f>
        <v>XP_045837014.1</v>
      </c>
      <c r="C23">
        <v>50752</v>
      </c>
      <c r="D23" t="str">
        <f>HYPERLINK("http://www.ncbi.nlm.nih.gov/Taxonomy/Browser/wwwtax.cgi?mode=Info&amp;id=9662&amp;lvl=3&amp;lin=f&amp;keep=1&amp;srchmode=1&amp;unlock","9662")</f>
        <v>9662</v>
      </c>
      <c r="E23" t="s">
        <v>66</v>
      </c>
      <c r="F23" t="str">
        <f>HYPERLINK("http://www.ncbi.nlm.nih.gov/Taxonomy/Browser/wwwtax.cgi?mode=Info&amp;id=9662&amp;lvl=3&amp;lin=f&amp;keep=1&amp;srchmode=1&amp;unlock","Meles meles")</f>
        <v>Meles meles</v>
      </c>
      <c r="G23" t="s">
        <v>99</v>
      </c>
      <c r="H23" t="str">
        <f>HYPERLINK("http://www.ncbi.nlm.nih.gov/protein/XP_045837014.1","mitochondrial antiviral-signaling protein isoform X3")</f>
        <v>mitochondrial antiviral-signaling protein isoform X3</v>
      </c>
      <c r="I23" t="s">
        <v>263</v>
      </c>
      <c r="J23" t="s">
        <v>153</v>
      </c>
      <c r="K23">
        <v>430</v>
      </c>
      <c r="L23" t="s">
        <v>155</v>
      </c>
      <c r="M23" t="s">
        <v>153</v>
      </c>
      <c r="N23" t="s">
        <v>150</v>
      </c>
      <c r="O23" t="s">
        <v>153</v>
      </c>
      <c r="P23">
        <v>105.093</v>
      </c>
      <c r="Q23" t="s">
        <v>153</v>
      </c>
      <c r="R23" t="s">
        <v>153</v>
      </c>
      <c r="S23">
        <v>434</v>
      </c>
      <c r="T23" t="s">
        <v>73</v>
      </c>
      <c r="U23" t="s">
        <v>69</v>
      </c>
      <c r="V23" t="s">
        <v>71</v>
      </c>
      <c r="W23" t="s">
        <v>69</v>
      </c>
      <c r="X23">
        <v>89.093999999999994</v>
      </c>
      <c r="Y23" t="s">
        <v>69</v>
      </c>
      <c r="Z23" t="s">
        <v>69</v>
      </c>
      <c r="AA23">
        <v>435</v>
      </c>
      <c r="AB23" t="s">
        <v>72</v>
      </c>
      <c r="AC23" t="s">
        <v>153</v>
      </c>
      <c r="AD23" t="s">
        <v>71</v>
      </c>
      <c r="AE23" t="s">
        <v>69</v>
      </c>
      <c r="AF23">
        <v>131.17500000000001</v>
      </c>
      <c r="AG23" t="s">
        <v>69</v>
      </c>
      <c r="AH23" t="s">
        <v>69</v>
      </c>
      <c r="AI23">
        <v>436</v>
      </c>
      <c r="AJ23" t="s">
        <v>155</v>
      </c>
      <c r="AK23" t="s">
        <v>69</v>
      </c>
      <c r="AL23" t="s">
        <v>150</v>
      </c>
      <c r="AM23" t="s">
        <v>69</v>
      </c>
      <c r="AN23">
        <v>105.093</v>
      </c>
      <c r="AO23" t="s">
        <v>69</v>
      </c>
      <c r="AP23" t="s">
        <v>69</v>
      </c>
      <c r="AQ23">
        <v>450</v>
      </c>
      <c r="AR23" t="s">
        <v>119</v>
      </c>
      <c r="AS23" t="s">
        <v>69</v>
      </c>
      <c r="AT23" t="s">
        <v>120</v>
      </c>
      <c r="AU23" t="s">
        <v>69</v>
      </c>
      <c r="AV23">
        <v>147.131</v>
      </c>
      <c r="AW23" t="s">
        <v>69</v>
      </c>
      <c r="AX23" t="s">
        <v>69</v>
      </c>
      <c r="AY23">
        <v>451</v>
      </c>
      <c r="AZ23" t="s">
        <v>119</v>
      </c>
      <c r="BA23" t="s">
        <v>69</v>
      </c>
      <c r="BB23" t="s">
        <v>120</v>
      </c>
      <c r="BC23" t="s">
        <v>69</v>
      </c>
      <c r="BD23">
        <v>147.131</v>
      </c>
      <c r="BE23" t="s">
        <v>69</v>
      </c>
      <c r="BF23" t="s">
        <v>69</v>
      </c>
      <c r="BG23">
        <v>452</v>
      </c>
      <c r="BH23" t="s">
        <v>153</v>
      </c>
      <c r="BI23" t="s">
        <v>69</v>
      </c>
      <c r="BJ23" t="s">
        <v>148</v>
      </c>
      <c r="BK23" t="s">
        <v>69</v>
      </c>
      <c r="BL23">
        <v>132.119</v>
      </c>
      <c r="BM23" t="s">
        <v>69</v>
      </c>
      <c r="BN23" t="s">
        <v>69</v>
      </c>
      <c r="BO23">
        <v>453</v>
      </c>
      <c r="BP23" t="s">
        <v>119</v>
      </c>
      <c r="BQ23" t="s">
        <v>69</v>
      </c>
      <c r="BR23" t="s">
        <v>120</v>
      </c>
      <c r="BS23" t="s">
        <v>69</v>
      </c>
      <c r="BT23">
        <v>147.131</v>
      </c>
      <c r="BU23" t="s">
        <v>69</v>
      </c>
      <c r="BV23" t="s">
        <v>69</v>
      </c>
    </row>
    <row r="24" spans="1:74" x14ac:dyDescent="0.25">
      <c r="A24">
        <v>7</v>
      </c>
      <c r="B24" t="str">
        <f>HYPERLINK("http://www.ncbi.nlm.nih.gov/protein/XP_017510479.2","XP_017510479.2")</f>
        <v>XP_017510479.2</v>
      </c>
      <c r="C24">
        <v>56064</v>
      </c>
      <c r="D24" t="str">
        <f>HYPERLINK("http://www.ncbi.nlm.nih.gov/Taxonomy/Browser/wwwtax.cgi?mode=Info&amp;id=9974&amp;lvl=3&amp;lin=f&amp;keep=1&amp;srchmode=1&amp;unlock","9974")</f>
        <v>9974</v>
      </c>
      <c r="E24" t="s">
        <v>66</v>
      </c>
      <c r="F24" t="str">
        <f>HYPERLINK("http://www.ncbi.nlm.nih.gov/Taxonomy/Browser/wwwtax.cgi?mode=Info&amp;id=9974&amp;lvl=3&amp;lin=f&amp;keep=1&amp;srchmode=1&amp;unlock","Manis javanica")</f>
        <v>Manis javanica</v>
      </c>
      <c r="G24" t="s">
        <v>100</v>
      </c>
      <c r="H24" t="str">
        <f>HYPERLINK("http://www.ncbi.nlm.nih.gov/protein/XP_017510479.2","mitochondrial antiviral-signaling protein isoform X2")</f>
        <v>mitochondrial antiviral-signaling protein isoform X2</v>
      </c>
      <c r="I24" t="s">
        <v>263</v>
      </c>
      <c r="J24" t="s">
        <v>153</v>
      </c>
      <c r="K24">
        <v>460</v>
      </c>
      <c r="L24" t="s">
        <v>155</v>
      </c>
      <c r="M24" t="s">
        <v>153</v>
      </c>
      <c r="N24" t="s">
        <v>150</v>
      </c>
      <c r="O24" t="s">
        <v>153</v>
      </c>
      <c r="P24">
        <v>105.093</v>
      </c>
      <c r="Q24" t="s">
        <v>153</v>
      </c>
      <c r="R24" t="s">
        <v>153</v>
      </c>
      <c r="S24">
        <v>464</v>
      </c>
      <c r="T24" t="s">
        <v>73</v>
      </c>
      <c r="U24" t="s">
        <v>69</v>
      </c>
      <c r="V24" t="s">
        <v>71</v>
      </c>
      <c r="W24" t="s">
        <v>69</v>
      </c>
      <c r="X24">
        <v>89.093999999999994</v>
      </c>
      <c r="Y24" t="s">
        <v>69</v>
      </c>
      <c r="Z24" t="s">
        <v>69</v>
      </c>
      <c r="AA24">
        <v>465</v>
      </c>
      <c r="AB24" t="s">
        <v>145</v>
      </c>
      <c r="AC24" t="s">
        <v>69</v>
      </c>
      <c r="AD24" t="s">
        <v>71</v>
      </c>
      <c r="AE24" t="s">
        <v>69</v>
      </c>
      <c r="AF24">
        <v>131.17500000000001</v>
      </c>
      <c r="AG24" t="s">
        <v>69</v>
      </c>
      <c r="AH24" t="s">
        <v>69</v>
      </c>
      <c r="AI24">
        <v>466</v>
      </c>
      <c r="AJ24" t="s">
        <v>155</v>
      </c>
      <c r="AK24" t="s">
        <v>69</v>
      </c>
      <c r="AL24" t="s">
        <v>150</v>
      </c>
      <c r="AM24" t="s">
        <v>69</v>
      </c>
      <c r="AN24">
        <v>105.093</v>
      </c>
      <c r="AO24" t="s">
        <v>69</v>
      </c>
      <c r="AP24" t="s">
        <v>69</v>
      </c>
      <c r="AQ24">
        <v>479</v>
      </c>
      <c r="AR24" t="s">
        <v>119</v>
      </c>
      <c r="AS24" t="s">
        <v>69</v>
      </c>
      <c r="AT24" t="s">
        <v>120</v>
      </c>
      <c r="AU24" t="s">
        <v>69</v>
      </c>
      <c r="AV24">
        <v>147.131</v>
      </c>
      <c r="AW24" t="s">
        <v>69</v>
      </c>
      <c r="AX24" t="s">
        <v>69</v>
      </c>
      <c r="AY24">
        <v>480</v>
      </c>
      <c r="AZ24" t="s">
        <v>119</v>
      </c>
      <c r="BA24" t="s">
        <v>69</v>
      </c>
      <c r="BB24" t="s">
        <v>120</v>
      </c>
      <c r="BC24" t="s">
        <v>69</v>
      </c>
      <c r="BD24">
        <v>147.131</v>
      </c>
      <c r="BE24" t="s">
        <v>69</v>
      </c>
      <c r="BF24" t="s">
        <v>69</v>
      </c>
      <c r="BG24">
        <v>481</v>
      </c>
      <c r="BH24" t="s">
        <v>153</v>
      </c>
      <c r="BI24" t="s">
        <v>69</v>
      </c>
      <c r="BJ24" t="s">
        <v>148</v>
      </c>
      <c r="BK24" t="s">
        <v>69</v>
      </c>
      <c r="BL24">
        <v>132.119</v>
      </c>
      <c r="BM24" t="s">
        <v>69</v>
      </c>
      <c r="BN24" t="s">
        <v>69</v>
      </c>
      <c r="BO24">
        <v>482</v>
      </c>
      <c r="BP24" t="s">
        <v>119</v>
      </c>
      <c r="BQ24" t="s">
        <v>69</v>
      </c>
      <c r="BR24" t="s">
        <v>120</v>
      </c>
      <c r="BS24" t="s">
        <v>69</v>
      </c>
      <c r="BT24">
        <v>147.131</v>
      </c>
      <c r="BU24" t="s">
        <v>69</v>
      </c>
      <c r="BV24" t="s">
        <v>69</v>
      </c>
    </row>
    <row r="25" spans="1:74" x14ac:dyDescent="0.25">
      <c r="A25">
        <v>7</v>
      </c>
      <c r="B25" t="str">
        <f>HYPERLINK("http://www.ncbi.nlm.nih.gov/protein/XP_020732716.1","XP_020732716.1")</f>
        <v>XP_020732716.1</v>
      </c>
      <c r="C25">
        <v>48218</v>
      </c>
      <c r="D25" t="str">
        <f>HYPERLINK("http://www.ncbi.nlm.nih.gov/Taxonomy/Browser/wwwtax.cgi?mode=Info&amp;id=9880&amp;lvl=3&amp;lin=f&amp;keep=1&amp;srchmode=1&amp;unlock","9880")</f>
        <v>9880</v>
      </c>
      <c r="E25" t="s">
        <v>66</v>
      </c>
      <c r="F25" t="str">
        <f>HYPERLINK("http://www.ncbi.nlm.nih.gov/Taxonomy/Browser/wwwtax.cgi?mode=Info&amp;id=9880&amp;lvl=3&amp;lin=f&amp;keep=1&amp;srchmode=1&amp;unlock","Odocoileus virginianus texanus")</f>
        <v>Odocoileus virginianus texanus</v>
      </c>
      <c r="G25" t="s">
        <v>81</v>
      </c>
      <c r="H25" t="str">
        <f>HYPERLINK("http://www.ncbi.nlm.nih.gov/protein/XP_020732716.1","mitochondrial antiviral-signaling protein isoform X2")</f>
        <v>mitochondrial antiviral-signaling protein isoform X2</v>
      </c>
      <c r="I25" t="s">
        <v>263</v>
      </c>
      <c r="J25" t="s">
        <v>153</v>
      </c>
      <c r="K25">
        <v>414</v>
      </c>
      <c r="L25" t="s">
        <v>155</v>
      </c>
      <c r="M25" t="s">
        <v>153</v>
      </c>
      <c r="N25" t="s">
        <v>150</v>
      </c>
      <c r="O25" t="s">
        <v>153</v>
      </c>
      <c r="P25">
        <v>105.093</v>
      </c>
      <c r="Q25" t="s">
        <v>153</v>
      </c>
      <c r="R25" t="s">
        <v>153</v>
      </c>
      <c r="S25">
        <v>418</v>
      </c>
      <c r="T25" t="s">
        <v>73</v>
      </c>
      <c r="U25" t="s">
        <v>69</v>
      </c>
      <c r="V25" t="s">
        <v>71</v>
      </c>
      <c r="W25" t="s">
        <v>69</v>
      </c>
      <c r="X25">
        <v>89.093999999999994</v>
      </c>
      <c r="Y25" t="s">
        <v>69</v>
      </c>
      <c r="Z25" t="s">
        <v>69</v>
      </c>
      <c r="AA25">
        <v>419</v>
      </c>
      <c r="AB25" t="s">
        <v>145</v>
      </c>
      <c r="AC25" t="s">
        <v>69</v>
      </c>
      <c r="AD25" t="s">
        <v>71</v>
      </c>
      <c r="AE25" t="s">
        <v>69</v>
      </c>
      <c r="AF25">
        <v>131.17500000000001</v>
      </c>
      <c r="AG25" t="s">
        <v>69</v>
      </c>
      <c r="AH25" t="s">
        <v>69</v>
      </c>
      <c r="AI25">
        <v>420</v>
      </c>
      <c r="AJ25" t="s">
        <v>155</v>
      </c>
      <c r="AK25" t="s">
        <v>69</v>
      </c>
      <c r="AL25" t="s">
        <v>150</v>
      </c>
      <c r="AM25" t="s">
        <v>69</v>
      </c>
      <c r="AN25">
        <v>105.093</v>
      </c>
      <c r="AO25" t="s">
        <v>69</v>
      </c>
      <c r="AP25" t="s">
        <v>69</v>
      </c>
      <c r="AQ25">
        <v>434</v>
      </c>
      <c r="AR25" t="s">
        <v>119</v>
      </c>
      <c r="AS25" t="s">
        <v>69</v>
      </c>
      <c r="AT25" t="s">
        <v>120</v>
      </c>
      <c r="AU25" t="s">
        <v>69</v>
      </c>
      <c r="AV25">
        <v>147.131</v>
      </c>
      <c r="AW25" t="s">
        <v>69</v>
      </c>
      <c r="AX25" t="s">
        <v>69</v>
      </c>
      <c r="AY25">
        <v>435</v>
      </c>
      <c r="AZ25" t="s">
        <v>119</v>
      </c>
      <c r="BA25" t="s">
        <v>69</v>
      </c>
      <c r="BB25" t="s">
        <v>120</v>
      </c>
      <c r="BC25" t="s">
        <v>69</v>
      </c>
      <c r="BD25">
        <v>147.131</v>
      </c>
      <c r="BE25" t="s">
        <v>69</v>
      </c>
      <c r="BF25" t="s">
        <v>69</v>
      </c>
      <c r="BG25">
        <v>436</v>
      </c>
      <c r="BH25" t="s">
        <v>153</v>
      </c>
      <c r="BI25" t="s">
        <v>69</v>
      </c>
      <c r="BJ25" t="s">
        <v>148</v>
      </c>
      <c r="BK25" t="s">
        <v>69</v>
      </c>
      <c r="BL25">
        <v>132.119</v>
      </c>
      <c r="BM25" t="s">
        <v>69</v>
      </c>
      <c r="BN25" t="s">
        <v>69</v>
      </c>
      <c r="BO25">
        <v>437</v>
      </c>
      <c r="BP25" t="s">
        <v>119</v>
      </c>
      <c r="BQ25" t="s">
        <v>69</v>
      </c>
      <c r="BR25" t="s">
        <v>120</v>
      </c>
      <c r="BS25" t="s">
        <v>69</v>
      </c>
      <c r="BT25">
        <v>147.131</v>
      </c>
      <c r="BU25" t="s">
        <v>69</v>
      </c>
      <c r="BV25" t="s">
        <v>69</v>
      </c>
    </row>
    <row r="26" spans="1:74" x14ac:dyDescent="0.25">
      <c r="A26">
        <v>7</v>
      </c>
      <c r="B26" t="str">
        <f>HYPERLINK("http://www.ncbi.nlm.nih.gov/protein/CAD7669621.1","CAD7669621.1")</f>
        <v>CAD7669621.1</v>
      </c>
      <c r="C26">
        <v>27271</v>
      </c>
      <c r="D26" t="str">
        <f>HYPERLINK("http://www.ncbi.nlm.nih.gov/Taxonomy/Browser/wwwtax.cgi?mode=Info&amp;id=34880&amp;lvl=3&amp;lin=f&amp;keep=1&amp;srchmode=1&amp;unlock","34880")</f>
        <v>34880</v>
      </c>
      <c r="E26" t="s">
        <v>66</v>
      </c>
      <c r="F26" t="str">
        <f>HYPERLINK("http://www.ncbi.nlm.nih.gov/Taxonomy/Browser/wwwtax.cgi?mode=Info&amp;id=34880&amp;lvl=3&amp;lin=f&amp;keep=1&amp;srchmode=1&amp;unlock","Nyctereutes procyonoides")</f>
        <v>Nyctereutes procyonoides</v>
      </c>
      <c r="G26" t="s">
        <v>92</v>
      </c>
      <c r="H26" t="str">
        <f>HYPERLINK("http://www.ncbi.nlm.nih.gov/protein/CAD7669621.1","unnamed protein product")</f>
        <v>unnamed protein product</v>
      </c>
      <c r="I26" t="s">
        <v>263</v>
      </c>
      <c r="J26" t="s">
        <v>153</v>
      </c>
      <c r="K26">
        <v>446</v>
      </c>
      <c r="L26" t="s">
        <v>155</v>
      </c>
      <c r="M26" t="s">
        <v>153</v>
      </c>
      <c r="N26" t="s">
        <v>150</v>
      </c>
      <c r="O26" t="s">
        <v>153</v>
      </c>
      <c r="P26">
        <v>105.093</v>
      </c>
      <c r="Q26" t="s">
        <v>153</v>
      </c>
      <c r="R26" t="s">
        <v>153</v>
      </c>
      <c r="S26">
        <v>450</v>
      </c>
      <c r="T26" t="s">
        <v>73</v>
      </c>
      <c r="U26" t="s">
        <v>69</v>
      </c>
      <c r="V26" t="s">
        <v>71</v>
      </c>
      <c r="W26" t="s">
        <v>69</v>
      </c>
      <c r="X26">
        <v>89.093999999999994</v>
      </c>
      <c r="Y26" t="s">
        <v>69</v>
      </c>
      <c r="Z26" t="s">
        <v>69</v>
      </c>
      <c r="AA26">
        <v>451</v>
      </c>
      <c r="AB26" t="s">
        <v>72</v>
      </c>
      <c r="AC26" t="s">
        <v>153</v>
      </c>
      <c r="AD26" t="s">
        <v>71</v>
      </c>
      <c r="AE26" t="s">
        <v>69</v>
      </c>
      <c r="AF26">
        <v>131.17500000000001</v>
      </c>
      <c r="AG26" t="s">
        <v>69</v>
      </c>
      <c r="AH26" t="s">
        <v>69</v>
      </c>
      <c r="AI26">
        <v>452</v>
      </c>
      <c r="AJ26" t="s">
        <v>155</v>
      </c>
      <c r="AK26" t="s">
        <v>69</v>
      </c>
      <c r="AL26" t="s">
        <v>150</v>
      </c>
      <c r="AM26" t="s">
        <v>69</v>
      </c>
      <c r="AN26">
        <v>105.093</v>
      </c>
      <c r="AO26" t="s">
        <v>69</v>
      </c>
      <c r="AP26" t="s">
        <v>69</v>
      </c>
      <c r="AQ26">
        <v>466</v>
      </c>
      <c r="AR26" t="s">
        <v>119</v>
      </c>
      <c r="AS26" t="s">
        <v>69</v>
      </c>
      <c r="AT26" t="s">
        <v>120</v>
      </c>
      <c r="AU26" t="s">
        <v>69</v>
      </c>
      <c r="AV26">
        <v>147.131</v>
      </c>
      <c r="AW26" t="s">
        <v>69</v>
      </c>
      <c r="AX26" t="s">
        <v>69</v>
      </c>
      <c r="AY26">
        <v>467</v>
      </c>
      <c r="AZ26" t="s">
        <v>119</v>
      </c>
      <c r="BA26" t="s">
        <v>69</v>
      </c>
      <c r="BB26" t="s">
        <v>120</v>
      </c>
      <c r="BC26" t="s">
        <v>69</v>
      </c>
      <c r="BD26">
        <v>147.131</v>
      </c>
      <c r="BE26" t="s">
        <v>69</v>
      </c>
      <c r="BF26" t="s">
        <v>69</v>
      </c>
      <c r="BG26">
        <v>468</v>
      </c>
      <c r="BH26" t="s">
        <v>153</v>
      </c>
      <c r="BI26" t="s">
        <v>69</v>
      </c>
      <c r="BJ26" t="s">
        <v>148</v>
      </c>
      <c r="BK26" t="s">
        <v>69</v>
      </c>
      <c r="BL26">
        <v>132.119</v>
      </c>
      <c r="BM26" t="s">
        <v>69</v>
      </c>
      <c r="BN26" t="s">
        <v>69</v>
      </c>
      <c r="BO26">
        <v>469</v>
      </c>
      <c r="BP26" t="s">
        <v>119</v>
      </c>
      <c r="BQ26" t="s">
        <v>69</v>
      </c>
      <c r="BR26" t="s">
        <v>120</v>
      </c>
      <c r="BS26" t="s">
        <v>69</v>
      </c>
      <c r="BT26">
        <v>147.131</v>
      </c>
      <c r="BU26" t="s">
        <v>69</v>
      </c>
      <c r="BV26" t="s">
        <v>69</v>
      </c>
    </row>
    <row r="27" spans="1:74" x14ac:dyDescent="0.25">
      <c r="A27">
        <v>7</v>
      </c>
      <c r="B27" t="str">
        <f>HYPERLINK("http://www.ncbi.nlm.nih.gov/protein/XP_025868126.1","XP_025868126.1")</f>
        <v>XP_025868126.1</v>
      </c>
      <c r="C27">
        <v>38435</v>
      </c>
      <c r="D27" t="str">
        <f>HYPERLINK("http://www.ncbi.nlm.nih.gov/Taxonomy/Browser/wwwtax.cgi?mode=Info&amp;id=9627&amp;lvl=3&amp;lin=f&amp;keep=1&amp;srchmode=1&amp;unlock","9627")</f>
        <v>9627</v>
      </c>
      <c r="E27" t="s">
        <v>66</v>
      </c>
      <c r="F27" t="str">
        <f>HYPERLINK("http://www.ncbi.nlm.nih.gov/Taxonomy/Browser/wwwtax.cgi?mode=Info&amp;id=9627&amp;lvl=3&amp;lin=f&amp;keep=1&amp;srchmode=1&amp;unlock","Vulpes vulpes")</f>
        <v>Vulpes vulpes</v>
      </c>
      <c r="G27" t="s">
        <v>95</v>
      </c>
      <c r="H27" t="str">
        <f>HYPERLINK("http://www.ncbi.nlm.nih.gov/protein/XP_025868126.1","mitochondrial antiviral-signaling protein")</f>
        <v>mitochondrial antiviral-signaling protein</v>
      </c>
      <c r="I27" t="s">
        <v>263</v>
      </c>
      <c r="J27" t="s">
        <v>153</v>
      </c>
      <c r="K27">
        <v>426</v>
      </c>
      <c r="L27" t="s">
        <v>155</v>
      </c>
      <c r="M27" t="s">
        <v>153</v>
      </c>
      <c r="N27" t="s">
        <v>150</v>
      </c>
      <c r="O27" t="s">
        <v>153</v>
      </c>
      <c r="P27">
        <v>105.093</v>
      </c>
      <c r="Q27" t="s">
        <v>153</v>
      </c>
      <c r="R27" t="s">
        <v>153</v>
      </c>
      <c r="S27">
        <v>430</v>
      </c>
      <c r="T27" t="s">
        <v>73</v>
      </c>
      <c r="U27" t="s">
        <v>69</v>
      </c>
      <c r="V27" t="s">
        <v>71</v>
      </c>
      <c r="W27" t="s">
        <v>69</v>
      </c>
      <c r="X27">
        <v>89.093999999999994</v>
      </c>
      <c r="Y27" t="s">
        <v>69</v>
      </c>
      <c r="Z27" t="s">
        <v>69</v>
      </c>
      <c r="AA27">
        <v>431</v>
      </c>
      <c r="AB27" t="s">
        <v>72</v>
      </c>
      <c r="AC27" t="s">
        <v>153</v>
      </c>
      <c r="AD27" t="s">
        <v>71</v>
      </c>
      <c r="AE27" t="s">
        <v>69</v>
      </c>
      <c r="AF27">
        <v>131.17500000000001</v>
      </c>
      <c r="AG27" t="s">
        <v>69</v>
      </c>
      <c r="AH27" t="s">
        <v>69</v>
      </c>
      <c r="AI27">
        <v>432</v>
      </c>
      <c r="AJ27" t="s">
        <v>155</v>
      </c>
      <c r="AK27" t="s">
        <v>69</v>
      </c>
      <c r="AL27" t="s">
        <v>150</v>
      </c>
      <c r="AM27" t="s">
        <v>69</v>
      </c>
      <c r="AN27">
        <v>105.093</v>
      </c>
      <c r="AO27" t="s">
        <v>69</v>
      </c>
      <c r="AP27" t="s">
        <v>69</v>
      </c>
      <c r="AQ27">
        <v>446</v>
      </c>
      <c r="AR27" t="s">
        <v>119</v>
      </c>
      <c r="AS27" t="s">
        <v>69</v>
      </c>
      <c r="AT27" t="s">
        <v>120</v>
      </c>
      <c r="AU27" t="s">
        <v>69</v>
      </c>
      <c r="AV27">
        <v>147.131</v>
      </c>
      <c r="AW27" t="s">
        <v>69</v>
      </c>
      <c r="AX27" t="s">
        <v>69</v>
      </c>
      <c r="AY27">
        <v>447</v>
      </c>
      <c r="AZ27" t="s">
        <v>119</v>
      </c>
      <c r="BA27" t="s">
        <v>69</v>
      </c>
      <c r="BB27" t="s">
        <v>120</v>
      </c>
      <c r="BC27" t="s">
        <v>69</v>
      </c>
      <c r="BD27">
        <v>147.131</v>
      </c>
      <c r="BE27" t="s">
        <v>69</v>
      </c>
      <c r="BF27" t="s">
        <v>69</v>
      </c>
      <c r="BG27">
        <v>448</v>
      </c>
      <c r="BH27" t="s">
        <v>153</v>
      </c>
      <c r="BI27" t="s">
        <v>69</v>
      </c>
      <c r="BJ27" t="s">
        <v>148</v>
      </c>
      <c r="BK27" t="s">
        <v>69</v>
      </c>
      <c r="BL27">
        <v>132.119</v>
      </c>
      <c r="BM27" t="s">
        <v>69</v>
      </c>
      <c r="BN27" t="s">
        <v>69</v>
      </c>
      <c r="BO27">
        <v>449</v>
      </c>
      <c r="BP27" t="s">
        <v>119</v>
      </c>
      <c r="BQ27" t="s">
        <v>69</v>
      </c>
      <c r="BR27" t="s">
        <v>120</v>
      </c>
      <c r="BS27" t="s">
        <v>69</v>
      </c>
      <c r="BT27">
        <v>147.131</v>
      </c>
      <c r="BU27" t="s">
        <v>69</v>
      </c>
      <c r="BV27" t="s">
        <v>69</v>
      </c>
    </row>
    <row r="28" spans="1:74" x14ac:dyDescent="0.25">
      <c r="A28">
        <v>7</v>
      </c>
      <c r="B28" t="str">
        <f>HYPERLINK("http://www.ncbi.nlm.nih.gov/protein/XP_015991597.2","XP_015991597.2")</f>
        <v>XP_015991597.2</v>
      </c>
      <c r="C28">
        <v>117142</v>
      </c>
      <c r="D28" t="str">
        <f>HYPERLINK("http://www.ncbi.nlm.nih.gov/Taxonomy/Browser/wwwtax.cgi?mode=Info&amp;id=9407&amp;lvl=3&amp;lin=f&amp;keep=1&amp;srchmode=1&amp;unlock","9407")</f>
        <v>9407</v>
      </c>
      <c r="E28" t="s">
        <v>66</v>
      </c>
      <c r="F28" t="str">
        <f>HYPERLINK("http://www.ncbi.nlm.nih.gov/Taxonomy/Browser/wwwtax.cgi?mode=Info&amp;id=9407&amp;lvl=3&amp;lin=f&amp;keep=1&amp;srchmode=1&amp;unlock","Rousettus aegyptiacus")</f>
        <v>Rousettus aegyptiacus</v>
      </c>
      <c r="G28" t="s">
        <v>103</v>
      </c>
      <c r="H28" t="str">
        <f>HYPERLINK("http://www.ncbi.nlm.nih.gov/protein/XP_015991597.2","mitochondrial antiviral-signaling protein isoform X1")</f>
        <v>mitochondrial antiviral-signaling protein isoform X1</v>
      </c>
      <c r="I28" t="s">
        <v>263</v>
      </c>
      <c r="J28" t="s">
        <v>153</v>
      </c>
      <c r="K28">
        <v>427</v>
      </c>
      <c r="L28" t="s">
        <v>155</v>
      </c>
      <c r="M28" t="s">
        <v>153</v>
      </c>
      <c r="N28" t="s">
        <v>150</v>
      </c>
      <c r="O28" t="s">
        <v>153</v>
      </c>
      <c r="P28">
        <v>105.093</v>
      </c>
      <c r="Q28" t="s">
        <v>153</v>
      </c>
      <c r="R28" t="s">
        <v>153</v>
      </c>
      <c r="S28">
        <v>431</v>
      </c>
      <c r="T28" t="s">
        <v>73</v>
      </c>
      <c r="U28" t="s">
        <v>69</v>
      </c>
      <c r="V28" t="s">
        <v>71</v>
      </c>
      <c r="W28" t="s">
        <v>69</v>
      </c>
      <c r="X28">
        <v>89.093999999999994</v>
      </c>
      <c r="Y28" t="s">
        <v>69</v>
      </c>
      <c r="Z28" t="s">
        <v>69</v>
      </c>
      <c r="AA28">
        <v>432</v>
      </c>
      <c r="AB28" t="s">
        <v>145</v>
      </c>
      <c r="AC28" t="s">
        <v>69</v>
      </c>
      <c r="AD28" t="s">
        <v>71</v>
      </c>
      <c r="AE28" t="s">
        <v>69</v>
      </c>
      <c r="AF28">
        <v>131.17500000000001</v>
      </c>
      <c r="AG28" t="s">
        <v>69</v>
      </c>
      <c r="AH28" t="s">
        <v>69</v>
      </c>
      <c r="AI28">
        <v>433</v>
      </c>
      <c r="AJ28" t="s">
        <v>155</v>
      </c>
      <c r="AK28" t="s">
        <v>69</v>
      </c>
      <c r="AL28" t="s">
        <v>150</v>
      </c>
      <c r="AM28" t="s">
        <v>69</v>
      </c>
      <c r="AN28">
        <v>105.093</v>
      </c>
      <c r="AO28" t="s">
        <v>69</v>
      </c>
      <c r="AP28" t="s">
        <v>69</v>
      </c>
      <c r="AQ28">
        <v>447</v>
      </c>
      <c r="AR28" t="s">
        <v>119</v>
      </c>
      <c r="AS28" t="s">
        <v>69</v>
      </c>
      <c r="AT28" t="s">
        <v>120</v>
      </c>
      <c r="AU28" t="s">
        <v>69</v>
      </c>
      <c r="AV28">
        <v>147.131</v>
      </c>
      <c r="AW28" t="s">
        <v>69</v>
      </c>
      <c r="AX28" t="s">
        <v>69</v>
      </c>
      <c r="AY28">
        <v>448</v>
      </c>
      <c r="AZ28" t="s">
        <v>119</v>
      </c>
      <c r="BA28" t="s">
        <v>69</v>
      </c>
      <c r="BB28" t="s">
        <v>120</v>
      </c>
      <c r="BC28" t="s">
        <v>69</v>
      </c>
      <c r="BD28">
        <v>147.131</v>
      </c>
      <c r="BE28" t="s">
        <v>69</v>
      </c>
      <c r="BF28" t="s">
        <v>69</v>
      </c>
      <c r="BG28">
        <v>449</v>
      </c>
      <c r="BH28" t="s">
        <v>153</v>
      </c>
      <c r="BI28" t="s">
        <v>69</v>
      </c>
      <c r="BJ28" t="s">
        <v>148</v>
      </c>
      <c r="BK28" t="s">
        <v>69</v>
      </c>
      <c r="BL28">
        <v>132.119</v>
      </c>
      <c r="BM28" t="s">
        <v>69</v>
      </c>
      <c r="BN28" t="s">
        <v>69</v>
      </c>
      <c r="BO28">
        <v>450</v>
      </c>
      <c r="BP28" t="s">
        <v>119</v>
      </c>
      <c r="BQ28" t="s">
        <v>69</v>
      </c>
      <c r="BR28" t="s">
        <v>120</v>
      </c>
      <c r="BS28" t="s">
        <v>69</v>
      </c>
      <c r="BT28">
        <v>147.131</v>
      </c>
      <c r="BU28" t="s">
        <v>69</v>
      </c>
      <c r="BV28" t="s">
        <v>69</v>
      </c>
    </row>
    <row r="29" spans="1:74" x14ac:dyDescent="0.25">
      <c r="A29">
        <v>7</v>
      </c>
      <c r="B29" t="str">
        <f>HYPERLINK("http://www.ncbi.nlm.nih.gov/protein/XP_005068707.1","XP_005068707.1")</f>
        <v>XP_005068707.1</v>
      </c>
      <c r="C29">
        <v>54410</v>
      </c>
      <c r="D29" t="str">
        <f>HYPERLINK("http://www.ncbi.nlm.nih.gov/Taxonomy/Browser/wwwtax.cgi?mode=Info&amp;id=10036&amp;lvl=3&amp;lin=f&amp;keep=1&amp;srchmode=1&amp;unlock","10036")</f>
        <v>10036</v>
      </c>
      <c r="E29" t="s">
        <v>66</v>
      </c>
      <c r="F29" t="str">
        <f>HYPERLINK("http://www.ncbi.nlm.nih.gov/Taxonomy/Browser/wwwtax.cgi?mode=Info&amp;id=10036&amp;lvl=3&amp;lin=f&amp;keep=1&amp;srchmode=1&amp;unlock","Mesocricetus auratus")</f>
        <v>Mesocricetus auratus</v>
      </c>
      <c r="G29" t="s">
        <v>87</v>
      </c>
      <c r="H29" t="str">
        <f>HYPERLINK("http://www.ncbi.nlm.nih.gov/protein/XP_005068707.1","mitochondrial antiviral-signaling protein isoform X1")</f>
        <v>mitochondrial antiviral-signaling protein isoform X1</v>
      </c>
      <c r="I29" t="s">
        <v>263</v>
      </c>
      <c r="J29" t="s">
        <v>153</v>
      </c>
      <c r="K29">
        <v>406</v>
      </c>
      <c r="L29" t="s">
        <v>155</v>
      </c>
      <c r="M29" t="s">
        <v>153</v>
      </c>
      <c r="N29" t="s">
        <v>150</v>
      </c>
      <c r="O29" t="s">
        <v>153</v>
      </c>
      <c r="P29">
        <v>105.093</v>
      </c>
      <c r="Q29" t="s">
        <v>153</v>
      </c>
      <c r="R29" t="s">
        <v>153</v>
      </c>
      <c r="S29">
        <v>410</v>
      </c>
      <c r="T29" t="s">
        <v>73</v>
      </c>
      <c r="U29" t="s">
        <v>69</v>
      </c>
      <c r="V29" t="s">
        <v>71</v>
      </c>
      <c r="W29" t="s">
        <v>69</v>
      </c>
      <c r="X29">
        <v>89.093999999999994</v>
      </c>
      <c r="Y29" t="s">
        <v>69</v>
      </c>
      <c r="Z29" t="s">
        <v>69</v>
      </c>
      <c r="AA29">
        <v>411</v>
      </c>
      <c r="AB29" t="s">
        <v>145</v>
      </c>
      <c r="AC29" t="s">
        <v>69</v>
      </c>
      <c r="AD29" t="s">
        <v>71</v>
      </c>
      <c r="AE29" t="s">
        <v>69</v>
      </c>
      <c r="AF29">
        <v>131.17500000000001</v>
      </c>
      <c r="AG29" t="s">
        <v>69</v>
      </c>
      <c r="AH29" t="s">
        <v>69</v>
      </c>
      <c r="AI29">
        <v>412</v>
      </c>
      <c r="AJ29" t="s">
        <v>155</v>
      </c>
      <c r="AK29" t="s">
        <v>69</v>
      </c>
      <c r="AL29" t="s">
        <v>150</v>
      </c>
      <c r="AM29" t="s">
        <v>69</v>
      </c>
      <c r="AN29">
        <v>105.093</v>
      </c>
      <c r="AO29" t="s">
        <v>69</v>
      </c>
      <c r="AP29" t="s">
        <v>69</v>
      </c>
      <c r="AQ29">
        <v>426</v>
      </c>
      <c r="AR29" t="s">
        <v>119</v>
      </c>
      <c r="AS29" t="s">
        <v>69</v>
      </c>
      <c r="AT29" t="s">
        <v>120</v>
      </c>
      <c r="AU29" t="s">
        <v>69</v>
      </c>
      <c r="AV29">
        <v>147.131</v>
      </c>
      <c r="AW29" t="s">
        <v>69</v>
      </c>
      <c r="AX29" t="s">
        <v>69</v>
      </c>
      <c r="AY29">
        <v>427</v>
      </c>
      <c r="AZ29" t="s">
        <v>119</v>
      </c>
      <c r="BA29" t="s">
        <v>69</v>
      </c>
      <c r="BB29" t="s">
        <v>120</v>
      </c>
      <c r="BC29" t="s">
        <v>69</v>
      </c>
      <c r="BD29">
        <v>147.131</v>
      </c>
      <c r="BE29" t="s">
        <v>69</v>
      </c>
      <c r="BF29" t="s">
        <v>69</v>
      </c>
      <c r="BG29">
        <v>428</v>
      </c>
      <c r="BH29" t="s">
        <v>155</v>
      </c>
      <c r="BI29" t="s">
        <v>153</v>
      </c>
      <c r="BJ29" t="s">
        <v>150</v>
      </c>
      <c r="BK29" t="s">
        <v>153</v>
      </c>
      <c r="BL29">
        <v>105.093</v>
      </c>
      <c r="BM29" t="s">
        <v>69</v>
      </c>
      <c r="BN29" t="s">
        <v>69</v>
      </c>
      <c r="BO29">
        <v>429</v>
      </c>
      <c r="BP29" t="s">
        <v>119</v>
      </c>
      <c r="BQ29" t="s">
        <v>69</v>
      </c>
      <c r="BR29" t="s">
        <v>120</v>
      </c>
      <c r="BS29" t="s">
        <v>69</v>
      </c>
      <c r="BT29">
        <v>147.131</v>
      </c>
      <c r="BU29" t="s">
        <v>69</v>
      </c>
      <c r="BV29" t="s">
        <v>69</v>
      </c>
    </row>
    <row r="30" spans="1:74" x14ac:dyDescent="0.25">
      <c r="A30">
        <v>7</v>
      </c>
      <c r="B30" t="str">
        <f>HYPERLINK("http://www.ncbi.nlm.nih.gov/protein/NP_001005556.1","NP_001005556.1")</f>
        <v>NP_001005556.1</v>
      </c>
      <c r="C30">
        <v>158159</v>
      </c>
      <c r="D30" t="str">
        <f>HYPERLINK("http://www.ncbi.nlm.nih.gov/Taxonomy/Browser/wwwtax.cgi?mode=Info&amp;id=10116&amp;lvl=3&amp;lin=f&amp;keep=1&amp;srchmode=1&amp;unlock","10116")</f>
        <v>10116</v>
      </c>
      <c r="E30" t="s">
        <v>66</v>
      </c>
      <c r="F30" t="str">
        <f>HYPERLINK("http://www.ncbi.nlm.nih.gov/Taxonomy/Browser/wwwtax.cgi?mode=Info&amp;id=10116&amp;lvl=3&amp;lin=f&amp;keep=1&amp;srchmode=1&amp;unlock","Rattus norvegicus")</f>
        <v>Rattus norvegicus</v>
      </c>
      <c r="G30" t="s">
        <v>102</v>
      </c>
      <c r="H30" t="str">
        <f>HYPERLINK("http://www.ncbi.nlm.nih.gov/protein/NP_001005556.1","mitochondrial antiviral-signaling protein")</f>
        <v>mitochondrial antiviral-signaling protein</v>
      </c>
      <c r="I30" t="s">
        <v>263</v>
      </c>
      <c r="J30" t="s">
        <v>153</v>
      </c>
      <c r="K30">
        <v>416</v>
      </c>
      <c r="L30" t="s">
        <v>155</v>
      </c>
      <c r="M30" t="s">
        <v>153</v>
      </c>
      <c r="N30" t="s">
        <v>150</v>
      </c>
      <c r="O30" t="s">
        <v>153</v>
      </c>
      <c r="P30">
        <v>105.093</v>
      </c>
      <c r="Q30" t="s">
        <v>153</v>
      </c>
      <c r="R30" t="s">
        <v>153</v>
      </c>
      <c r="S30">
        <v>420</v>
      </c>
      <c r="T30" t="s">
        <v>73</v>
      </c>
      <c r="U30" t="s">
        <v>69</v>
      </c>
      <c r="V30" t="s">
        <v>71</v>
      </c>
      <c r="W30" t="s">
        <v>69</v>
      </c>
      <c r="X30">
        <v>89.093999999999994</v>
      </c>
      <c r="Y30" t="s">
        <v>69</v>
      </c>
      <c r="Z30" t="s">
        <v>69</v>
      </c>
      <c r="AA30">
        <v>421</v>
      </c>
      <c r="AB30" t="s">
        <v>145</v>
      </c>
      <c r="AC30" t="s">
        <v>69</v>
      </c>
      <c r="AD30" t="s">
        <v>71</v>
      </c>
      <c r="AE30" t="s">
        <v>69</v>
      </c>
      <c r="AF30">
        <v>131.17500000000001</v>
      </c>
      <c r="AG30" t="s">
        <v>69</v>
      </c>
      <c r="AH30" t="s">
        <v>69</v>
      </c>
      <c r="AI30">
        <v>422</v>
      </c>
      <c r="AJ30" t="s">
        <v>155</v>
      </c>
      <c r="AK30" t="s">
        <v>69</v>
      </c>
      <c r="AL30" t="s">
        <v>150</v>
      </c>
      <c r="AM30" t="s">
        <v>69</v>
      </c>
      <c r="AN30">
        <v>105.093</v>
      </c>
      <c r="AO30" t="s">
        <v>69</v>
      </c>
      <c r="AP30" t="s">
        <v>69</v>
      </c>
      <c r="AQ30">
        <v>436</v>
      </c>
      <c r="AR30" t="s">
        <v>119</v>
      </c>
      <c r="AS30" t="s">
        <v>69</v>
      </c>
      <c r="AT30" t="s">
        <v>120</v>
      </c>
      <c r="AU30" t="s">
        <v>69</v>
      </c>
      <c r="AV30">
        <v>147.131</v>
      </c>
      <c r="AW30" t="s">
        <v>69</v>
      </c>
      <c r="AX30" t="s">
        <v>69</v>
      </c>
      <c r="AY30">
        <v>437</v>
      </c>
      <c r="AZ30" t="s">
        <v>119</v>
      </c>
      <c r="BA30" t="s">
        <v>69</v>
      </c>
      <c r="BB30" t="s">
        <v>120</v>
      </c>
      <c r="BC30" t="s">
        <v>69</v>
      </c>
      <c r="BD30">
        <v>147.131</v>
      </c>
      <c r="BE30" t="s">
        <v>69</v>
      </c>
      <c r="BF30" t="s">
        <v>69</v>
      </c>
      <c r="BG30">
        <v>438</v>
      </c>
      <c r="BH30" t="s">
        <v>153</v>
      </c>
      <c r="BI30" t="s">
        <v>69</v>
      </c>
      <c r="BJ30" t="s">
        <v>148</v>
      </c>
      <c r="BK30" t="s">
        <v>69</v>
      </c>
      <c r="BL30">
        <v>132.119</v>
      </c>
      <c r="BM30" t="s">
        <v>69</v>
      </c>
      <c r="BN30" t="s">
        <v>69</v>
      </c>
      <c r="BO30">
        <v>439</v>
      </c>
      <c r="BP30" t="s">
        <v>119</v>
      </c>
      <c r="BQ30" t="s">
        <v>69</v>
      </c>
      <c r="BR30" t="s">
        <v>120</v>
      </c>
      <c r="BS30" t="s">
        <v>69</v>
      </c>
      <c r="BT30">
        <v>147.131</v>
      </c>
      <c r="BU30" t="s">
        <v>69</v>
      </c>
      <c r="BV30" t="s">
        <v>69</v>
      </c>
    </row>
    <row r="31" spans="1:74" x14ac:dyDescent="0.25">
      <c r="A31">
        <v>7</v>
      </c>
      <c r="B31" t="str">
        <f>HYPERLINK("http://www.ncbi.nlm.nih.gov/protein/XP_006984618.1","XP_006984618.1")</f>
        <v>XP_006984618.1</v>
      </c>
      <c r="C31">
        <v>54287</v>
      </c>
      <c r="D31" t="str">
        <f>HYPERLINK("http://www.ncbi.nlm.nih.gov/Taxonomy/Browser/wwwtax.cgi?mode=Info&amp;id=230844&amp;lvl=3&amp;lin=f&amp;keep=1&amp;srchmode=1&amp;unlock","230844")</f>
        <v>230844</v>
      </c>
      <c r="E31" t="s">
        <v>66</v>
      </c>
      <c r="F31" t="str">
        <f>HYPERLINK("http://www.ncbi.nlm.nih.gov/Taxonomy/Browser/wwwtax.cgi?mode=Info&amp;id=230844&amp;lvl=3&amp;lin=f&amp;keep=1&amp;srchmode=1&amp;unlock","Peromyscus maniculatus bairdii")</f>
        <v>Peromyscus maniculatus bairdii</v>
      </c>
      <c r="G31" t="s">
        <v>88</v>
      </c>
      <c r="H31" t="str">
        <f>HYPERLINK("http://www.ncbi.nlm.nih.gov/protein/XP_006984618.1","mitochondrial antiviral-signaling protein")</f>
        <v>mitochondrial antiviral-signaling protein</v>
      </c>
      <c r="I31" t="s">
        <v>263</v>
      </c>
      <c r="J31" t="s">
        <v>153</v>
      </c>
      <c r="K31">
        <v>416</v>
      </c>
      <c r="L31" t="s">
        <v>155</v>
      </c>
      <c r="M31" t="s">
        <v>153</v>
      </c>
      <c r="N31" t="s">
        <v>150</v>
      </c>
      <c r="O31" t="s">
        <v>153</v>
      </c>
      <c r="P31">
        <v>105.093</v>
      </c>
      <c r="Q31" t="s">
        <v>153</v>
      </c>
      <c r="R31" t="s">
        <v>153</v>
      </c>
      <c r="S31">
        <v>420</v>
      </c>
      <c r="T31" t="s">
        <v>73</v>
      </c>
      <c r="U31" t="s">
        <v>69</v>
      </c>
      <c r="V31" t="s">
        <v>71</v>
      </c>
      <c r="W31" t="s">
        <v>69</v>
      </c>
      <c r="X31">
        <v>89.093999999999994</v>
      </c>
      <c r="Y31" t="s">
        <v>69</v>
      </c>
      <c r="Z31" t="s">
        <v>69</v>
      </c>
      <c r="AA31">
        <v>421</v>
      </c>
      <c r="AB31" t="s">
        <v>145</v>
      </c>
      <c r="AC31" t="s">
        <v>69</v>
      </c>
      <c r="AD31" t="s">
        <v>71</v>
      </c>
      <c r="AE31" t="s">
        <v>69</v>
      </c>
      <c r="AF31">
        <v>131.17500000000001</v>
      </c>
      <c r="AG31" t="s">
        <v>69</v>
      </c>
      <c r="AH31" t="s">
        <v>69</v>
      </c>
      <c r="AI31">
        <v>422</v>
      </c>
      <c r="AJ31" t="s">
        <v>155</v>
      </c>
      <c r="AK31" t="s">
        <v>69</v>
      </c>
      <c r="AL31" t="s">
        <v>150</v>
      </c>
      <c r="AM31" t="s">
        <v>69</v>
      </c>
      <c r="AN31">
        <v>105.093</v>
      </c>
      <c r="AO31" t="s">
        <v>69</v>
      </c>
      <c r="AP31" t="s">
        <v>69</v>
      </c>
      <c r="AQ31">
        <v>436</v>
      </c>
      <c r="AR31" t="s">
        <v>119</v>
      </c>
      <c r="AS31" t="s">
        <v>69</v>
      </c>
      <c r="AT31" t="s">
        <v>120</v>
      </c>
      <c r="AU31" t="s">
        <v>69</v>
      </c>
      <c r="AV31">
        <v>147.131</v>
      </c>
      <c r="AW31" t="s">
        <v>69</v>
      </c>
      <c r="AX31" t="s">
        <v>69</v>
      </c>
      <c r="AY31">
        <v>437</v>
      </c>
      <c r="AZ31" t="s">
        <v>119</v>
      </c>
      <c r="BA31" t="s">
        <v>69</v>
      </c>
      <c r="BB31" t="s">
        <v>120</v>
      </c>
      <c r="BC31" t="s">
        <v>69</v>
      </c>
      <c r="BD31">
        <v>147.131</v>
      </c>
      <c r="BE31" t="s">
        <v>69</v>
      </c>
      <c r="BF31" t="s">
        <v>69</v>
      </c>
      <c r="BG31">
        <v>438</v>
      </c>
      <c r="BH31" t="s">
        <v>153</v>
      </c>
      <c r="BI31" t="s">
        <v>69</v>
      </c>
      <c r="BJ31" t="s">
        <v>148</v>
      </c>
      <c r="BK31" t="s">
        <v>69</v>
      </c>
      <c r="BL31">
        <v>132.119</v>
      </c>
      <c r="BM31" t="s">
        <v>69</v>
      </c>
      <c r="BN31" t="s">
        <v>69</v>
      </c>
      <c r="BO31">
        <v>439</v>
      </c>
      <c r="BP31" t="s">
        <v>119</v>
      </c>
      <c r="BQ31" t="s">
        <v>69</v>
      </c>
      <c r="BR31" t="s">
        <v>120</v>
      </c>
      <c r="BS31" t="s">
        <v>69</v>
      </c>
      <c r="BT31">
        <v>147.131</v>
      </c>
      <c r="BU31" t="s">
        <v>69</v>
      </c>
      <c r="BV31" t="s">
        <v>69</v>
      </c>
    </row>
    <row r="32" spans="1:74" x14ac:dyDescent="0.25">
      <c r="A32">
        <v>7</v>
      </c>
      <c r="B32" t="str">
        <f>HYPERLINK("http://www.ncbi.nlm.nih.gov/protein/AYU75379.1","AYU75379.1")</f>
        <v>AYU75379.1</v>
      </c>
      <c r="C32">
        <v>2431</v>
      </c>
      <c r="D32" t="str">
        <f>HYPERLINK("http://www.ncbi.nlm.nih.gov/Taxonomy/Browser/wwwtax.cgi?mode=Info&amp;id=447135&amp;lvl=3&amp;lin=f&amp;keep=1&amp;srchmode=1&amp;unlock","447135")</f>
        <v>447135</v>
      </c>
      <c r="E32" t="s">
        <v>66</v>
      </c>
      <c r="F32" t="str">
        <f>HYPERLINK("http://www.ncbi.nlm.nih.gov/Taxonomy/Browser/wwwtax.cgi?mode=Info&amp;id=447135&amp;lvl=3&amp;lin=f&amp;keep=1&amp;srchmode=1&amp;unlock","Myodes glareolus")</f>
        <v>Myodes glareolus</v>
      </c>
      <c r="G32" t="s">
        <v>264</v>
      </c>
      <c r="H32" t="str">
        <f>HYPERLINK("http://www.ncbi.nlm.nih.gov/protein/AYU75379.1","MAVS protein")</f>
        <v>MAVS protein</v>
      </c>
      <c r="I32" t="s">
        <v>263</v>
      </c>
      <c r="J32" t="s">
        <v>153</v>
      </c>
      <c r="K32">
        <v>415</v>
      </c>
      <c r="L32" t="s">
        <v>155</v>
      </c>
      <c r="M32" t="s">
        <v>153</v>
      </c>
      <c r="N32" t="s">
        <v>150</v>
      </c>
      <c r="O32" t="s">
        <v>153</v>
      </c>
      <c r="P32">
        <v>105.093</v>
      </c>
      <c r="Q32" t="s">
        <v>153</v>
      </c>
      <c r="R32" t="s">
        <v>153</v>
      </c>
      <c r="S32">
        <v>419</v>
      </c>
      <c r="T32" t="s">
        <v>73</v>
      </c>
      <c r="U32" t="s">
        <v>69</v>
      </c>
      <c r="V32" t="s">
        <v>71</v>
      </c>
      <c r="W32" t="s">
        <v>69</v>
      </c>
      <c r="X32">
        <v>89.093999999999994</v>
      </c>
      <c r="Y32" t="s">
        <v>69</v>
      </c>
      <c r="Z32" t="s">
        <v>69</v>
      </c>
      <c r="AA32">
        <v>420</v>
      </c>
      <c r="AB32" t="s">
        <v>145</v>
      </c>
      <c r="AC32" t="s">
        <v>69</v>
      </c>
      <c r="AD32" t="s">
        <v>71</v>
      </c>
      <c r="AE32" t="s">
        <v>69</v>
      </c>
      <c r="AF32">
        <v>131.17500000000001</v>
      </c>
      <c r="AG32" t="s">
        <v>69</v>
      </c>
      <c r="AH32" t="s">
        <v>69</v>
      </c>
      <c r="AI32">
        <v>421</v>
      </c>
      <c r="AJ32" t="s">
        <v>155</v>
      </c>
      <c r="AK32" t="s">
        <v>69</v>
      </c>
      <c r="AL32" t="s">
        <v>150</v>
      </c>
      <c r="AM32" t="s">
        <v>69</v>
      </c>
      <c r="AN32">
        <v>105.093</v>
      </c>
      <c r="AO32" t="s">
        <v>69</v>
      </c>
      <c r="AP32" t="s">
        <v>69</v>
      </c>
      <c r="AQ32">
        <v>435</v>
      </c>
      <c r="AR32" t="s">
        <v>119</v>
      </c>
      <c r="AS32" t="s">
        <v>69</v>
      </c>
      <c r="AT32" t="s">
        <v>120</v>
      </c>
      <c r="AU32" t="s">
        <v>69</v>
      </c>
      <c r="AV32">
        <v>147.131</v>
      </c>
      <c r="AW32" t="s">
        <v>69</v>
      </c>
      <c r="AX32" t="s">
        <v>69</v>
      </c>
      <c r="AY32">
        <v>436</v>
      </c>
      <c r="AZ32" t="s">
        <v>119</v>
      </c>
      <c r="BA32" t="s">
        <v>69</v>
      </c>
      <c r="BB32" t="s">
        <v>120</v>
      </c>
      <c r="BC32" t="s">
        <v>69</v>
      </c>
      <c r="BD32">
        <v>147.131</v>
      </c>
      <c r="BE32" t="s">
        <v>69</v>
      </c>
      <c r="BF32" t="s">
        <v>69</v>
      </c>
      <c r="BG32">
        <v>437</v>
      </c>
      <c r="BH32" t="s">
        <v>153</v>
      </c>
      <c r="BI32" t="s">
        <v>69</v>
      </c>
      <c r="BJ32" t="s">
        <v>148</v>
      </c>
      <c r="BK32" t="s">
        <v>69</v>
      </c>
      <c r="BL32">
        <v>132.119</v>
      </c>
      <c r="BM32" t="s">
        <v>69</v>
      </c>
      <c r="BN32" t="s">
        <v>69</v>
      </c>
      <c r="BO32">
        <v>438</v>
      </c>
      <c r="BP32" t="s">
        <v>119</v>
      </c>
      <c r="BQ32" t="s">
        <v>69</v>
      </c>
      <c r="BR32" t="s">
        <v>120</v>
      </c>
      <c r="BS32" t="s">
        <v>69</v>
      </c>
      <c r="BT32">
        <v>147.131</v>
      </c>
      <c r="BU32" t="s">
        <v>69</v>
      </c>
      <c r="BV32" t="s">
        <v>69</v>
      </c>
    </row>
    <row r="33" spans="1:74" x14ac:dyDescent="0.25">
      <c r="A33">
        <v>7</v>
      </c>
      <c r="B33" t="str">
        <f>HYPERLINK("http://www.ncbi.nlm.nih.gov/protein/XP_021148552.1","XP_021148552.1")</f>
        <v>XP_021148552.1</v>
      </c>
      <c r="C33">
        <v>50957</v>
      </c>
      <c r="D33" t="str">
        <f>HYPERLINK("http://www.ncbi.nlm.nih.gov/Taxonomy/Browser/wwwtax.cgi?mode=Info&amp;id=8932&amp;lvl=3&amp;lin=f&amp;keep=1&amp;srchmode=1&amp;unlock","8932")</f>
        <v>8932</v>
      </c>
      <c r="E33" t="s">
        <v>107</v>
      </c>
      <c r="F33" t="str">
        <f>HYPERLINK("http://www.ncbi.nlm.nih.gov/Taxonomy/Browser/wwwtax.cgi?mode=Info&amp;id=8932&amp;lvl=3&amp;lin=f&amp;keep=1&amp;srchmode=1&amp;unlock","Columba livia")</f>
        <v>Columba livia</v>
      </c>
      <c r="G33" t="s">
        <v>108</v>
      </c>
      <c r="H33" t="str">
        <f>HYPERLINK("http://www.ncbi.nlm.nih.gov/protein/XP_021148552.1","mitochondrial antiviral-signaling protein")</f>
        <v>mitochondrial antiviral-signaling protein</v>
      </c>
      <c r="I33" t="s">
        <v>263</v>
      </c>
      <c r="J33" t="s">
        <v>153</v>
      </c>
      <c r="K33">
        <v>502</v>
      </c>
      <c r="L33" t="s">
        <v>155</v>
      </c>
      <c r="M33" t="s">
        <v>153</v>
      </c>
      <c r="N33" t="s">
        <v>150</v>
      </c>
      <c r="O33" t="s">
        <v>153</v>
      </c>
      <c r="P33">
        <v>105.093</v>
      </c>
      <c r="Q33" t="s">
        <v>153</v>
      </c>
      <c r="R33" t="s">
        <v>153</v>
      </c>
      <c r="S33">
        <v>506</v>
      </c>
      <c r="T33" t="s">
        <v>155</v>
      </c>
      <c r="U33" t="s">
        <v>153</v>
      </c>
      <c r="V33" t="s">
        <v>150</v>
      </c>
      <c r="W33" t="s">
        <v>153</v>
      </c>
      <c r="X33">
        <v>105.093</v>
      </c>
      <c r="Y33" t="s">
        <v>69</v>
      </c>
      <c r="Z33" t="s">
        <v>69</v>
      </c>
      <c r="AA33">
        <v>507</v>
      </c>
      <c r="AB33" t="s">
        <v>151</v>
      </c>
      <c r="AC33" t="s">
        <v>153</v>
      </c>
      <c r="AD33" t="s">
        <v>152</v>
      </c>
      <c r="AE33" t="s">
        <v>153</v>
      </c>
      <c r="AF33">
        <v>165.19200000000001</v>
      </c>
      <c r="AG33" t="s">
        <v>153</v>
      </c>
      <c r="AH33" t="s">
        <v>153</v>
      </c>
      <c r="AI33">
        <v>508</v>
      </c>
      <c r="AJ33" t="s">
        <v>155</v>
      </c>
      <c r="AK33" t="s">
        <v>69</v>
      </c>
      <c r="AL33" t="s">
        <v>150</v>
      </c>
      <c r="AM33" t="s">
        <v>69</v>
      </c>
      <c r="AN33">
        <v>105.093</v>
      </c>
      <c r="AO33" t="s">
        <v>69</v>
      </c>
      <c r="AP33" t="s">
        <v>69</v>
      </c>
      <c r="AQ33">
        <v>533</v>
      </c>
      <c r="AR33" t="s">
        <v>155</v>
      </c>
      <c r="AS33" t="s">
        <v>153</v>
      </c>
      <c r="AT33" t="s">
        <v>150</v>
      </c>
      <c r="AU33" t="s">
        <v>153</v>
      </c>
      <c r="AV33">
        <v>105.093</v>
      </c>
      <c r="AW33" t="s">
        <v>153</v>
      </c>
      <c r="AX33" t="s">
        <v>153</v>
      </c>
      <c r="AY33">
        <v>534</v>
      </c>
      <c r="AZ33" t="s">
        <v>73</v>
      </c>
      <c r="BA33" t="s">
        <v>153</v>
      </c>
      <c r="BB33" t="s">
        <v>71</v>
      </c>
      <c r="BC33" t="s">
        <v>153</v>
      </c>
      <c r="BD33">
        <v>89.093999999999994</v>
      </c>
      <c r="BE33" t="s">
        <v>153</v>
      </c>
      <c r="BF33" t="s">
        <v>153</v>
      </c>
      <c r="BG33">
        <v>535</v>
      </c>
      <c r="BH33" t="s">
        <v>146</v>
      </c>
      <c r="BI33" t="s">
        <v>153</v>
      </c>
      <c r="BJ33" t="s">
        <v>71</v>
      </c>
      <c r="BK33" t="s">
        <v>153</v>
      </c>
      <c r="BL33">
        <v>115.13200000000001</v>
      </c>
      <c r="BM33" t="s">
        <v>69</v>
      </c>
      <c r="BN33" t="s">
        <v>69</v>
      </c>
      <c r="BO33">
        <v>558</v>
      </c>
      <c r="BP33" t="s">
        <v>155</v>
      </c>
      <c r="BQ33" t="s">
        <v>153</v>
      </c>
      <c r="BR33" t="s">
        <v>150</v>
      </c>
      <c r="BS33" t="s">
        <v>153</v>
      </c>
      <c r="BT33">
        <v>105.093</v>
      </c>
      <c r="BU33" t="s">
        <v>153</v>
      </c>
      <c r="BV33" t="s">
        <v>153</v>
      </c>
    </row>
    <row r="34" spans="1:74" x14ac:dyDescent="0.25">
      <c r="A34">
        <v>7</v>
      </c>
      <c r="B34" t="str">
        <f>HYPERLINK("http://www.ncbi.nlm.nih.gov/protein/XP_014380382.1","XP_014380382.1")</f>
        <v>XP_014380382.1</v>
      </c>
      <c r="C34">
        <v>43404</v>
      </c>
      <c r="D34" t="str">
        <f>HYPERLINK("http://www.ncbi.nlm.nih.gov/Taxonomy/Browser/wwwtax.cgi?mode=Info&amp;id=38654&amp;lvl=3&amp;lin=f&amp;keep=1&amp;srchmode=1&amp;unlock","38654")</f>
        <v>38654</v>
      </c>
      <c r="E34" t="s">
        <v>109</v>
      </c>
      <c r="F34" t="str">
        <f>HYPERLINK("http://www.ncbi.nlm.nih.gov/Taxonomy/Browser/wwwtax.cgi?mode=Info&amp;id=38654&amp;lvl=3&amp;lin=f&amp;keep=1&amp;srchmode=1&amp;unlock","Alligator sinensis")</f>
        <v>Alligator sinensis</v>
      </c>
      <c r="G34" t="s">
        <v>110</v>
      </c>
      <c r="H34" t="str">
        <f>HYPERLINK("http://www.ncbi.nlm.nih.gov/protein/XP_014380382.1","mitochondrial antiviral-signaling protein")</f>
        <v>mitochondrial antiviral-signaling protein</v>
      </c>
      <c r="I34" t="s">
        <v>263</v>
      </c>
      <c r="J34" t="s">
        <v>153</v>
      </c>
      <c r="K34">
        <v>588</v>
      </c>
      <c r="L34" t="s">
        <v>155</v>
      </c>
      <c r="M34" t="s">
        <v>153</v>
      </c>
      <c r="N34" t="s">
        <v>150</v>
      </c>
      <c r="O34" t="s">
        <v>153</v>
      </c>
      <c r="P34">
        <v>105.093</v>
      </c>
      <c r="Q34" t="s">
        <v>153</v>
      </c>
      <c r="R34" t="s">
        <v>153</v>
      </c>
      <c r="S34">
        <v>592</v>
      </c>
      <c r="T34" t="s">
        <v>72</v>
      </c>
      <c r="U34" t="s">
        <v>153</v>
      </c>
      <c r="V34" t="s">
        <v>71</v>
      </c>
      <c r="W34" t="s">
        <v>69</v>
      </c>
      <c r="X34">
        <v>131.17500000000001</v>
      </c>
      <c r="Y34" t="s">
        <v>153</v>
      </c>
      <c r="Z34" t="s">
        <v>69</v>
      </c>
      <c r="AA34">
        <v>593</v>
      </c>
      <c r="AB34" t="s">
        <v>72</v>
      </c>
      <c r="AC34" t="s">
        <v>153</v>
      </c>
      <c r="AD34" t="s">
        <v>71</v>
      </c>
      <c r="AE34" t="s">
        <v>69</v>
      </c>
      <c r="AF34">
        <v>131.17500000000001</v>
      </c>
      <c r="AG34" t="s">
        <v>69</v>
      </c>
      <c r="AH34" t="s">
        <v>69</v>
      </c>
      <c r="AI34">
        <v>594</v>
      </c>
      <c r="AJ34" t="s">
        <v>155</v>
      </c>
      <c r="AK34" t="s">
        <v>69</v>
      </c>
      <c r="AL34" t="s">
        <v>150</v>
      </c>
      <c r="AM34" t="s">
        <v>69</v>
      </c>
      <c r="AN34">
        <v>105.093</v>
      </c>
      <c r="AO34" t="s">
        <v>69</v>
      </c>
      <c r="AP34" t="s">
        <v>69</v>
      </c>
      <c r="AQ34">
        <v>618</v>
      </c>
      <c r="AR34" t="s">
        <v>119</v>
      </c>
      <c r="AS34" t="s">
        <v>69</v>
      </c>
      <c r="AT34" t="s">
        <v>120</v>
      </c>
      <c r="AU34" t="s">
        <v>69</v>
      </c>
      <c r="AV34">
        <v>147.131</v>
      </c>
      <c r="AW34" t="s">
        <v>69</v>
      </c>
      <c r="AX34" t="s">
        <v>69</v>
      </c>
      <c r="AY34">
        <v>619</v>
      </c>
      <c r="AZ34" t="s">
        <v>119</v>
      </c>
      <c r="BA34" t="s">
        <v>69</v>
      </c>
      <c r="BB34" t="s">
        <v>120</v>
      </c>
      <c r="BC34" t="s">
        <v>69</v>
      </c>
      <c r="BD34">
        <v>147.131</v>
      </c>
      <c r="BE34" t="s">
        <v>69</v>
      </c>
      <c r="BF34" t="s">
        <v>69</v>
      </c>
      <c r="BG34">
        <v>620</v>
      </c>
      <c r="BH34" t="s">
        <v>155</v>
      </c>
      <c r="BI34" t="s">
        <v>153</v>
      </c>
      <c r="BJ34" t="s">
        <v>150</v>
      </c>
      <c r="BK34" t="s">
        <v>153</v>
      </c>
      <c r="BL34">
        <v>105.093</v>
      </c>
      <c r="BM34" t="s">
        <v>69</v>
      </c>
      <c r="BN34" t="s">
        <v>69</v>
      </c>
      <c r="BO34">
        <v>658</v>
      </c>
      <c r="BP34" t="s">
        <v>155</v>
      </c>
      <c r="BQ34" t="s">
        <v>153</v>
      </c>
      <c r="BR34" t="s">
        <v>150</v>
      </c>
      <c r="BS34" t="s">
        <v>153</v>
      </c>
      <c r="BT34">
        <v>105.093</v>
      </c>
      <c r="BU34" t="s">
        <v>153</v>
      </c>
      <c r="BV34" t="s">
        <v>153</v>
      </c>
    </row>
    <row r="35" spans="1:74" x14ac:dyDescent="0.25">
      <c r="A35">
        <v>7</v>
      </c>
      <c r="B35" t="str">
        <f>HYPERLINK("http://www.ncbi.nlm.nih.gov/protein/XP_041443160.1","XP_041443160.1")</f>
        <v>XP_041443160.1</v>
      </c>
      <c r="C35">
        <v>146185</v>
      </c>
      <c r="D35" t="str">
        <f>HYPERLINK("http://www.ncbi.nlm.nih.gov/Taxonomy/Browser/wwwtax.cgi?mode=Info&amp;id=8355&amp;lvl=3&amp;lin=f&amp;keep=1&amp;srchmode=1&amp;unlock","8355")</f>
        <v>8355</v>
      </c>
      <c r="E35" t="s">
        <v>111</v>
      </c>
      <c r="F35" t="str">
        <f>HYPERLINK("http://www.ncbi.nlm.nih.gov/Taxonomy/Browser/wwwtax.cgi?mode=Info&amp;id=8355&amp;lvl=3&amp;lin=f&amp;keep=1&amp;srchmode=1&amp;unlock","Xenopus laevis")</f>
        <v>Xenopus laevis</v>
      </c>
      <c r="G35" t="s">
        <v>112</v>
      </c>
      <c r="H35" t="str">
        <f>HYPERLINK("http://www.ncbi.nlm.nih.gov/protein/XP_041443160.1","mitochondrial antiviral-signaling protein isoform X1")</f>
        <v>mitochondrial antiviral-signaling protein isoform X1</v>
      </c>
      <c r="I35" t="s">
        <v>263</v>
      </c>
      <c r="J35" t="s">
        <v>153</v>
      </c>
      <c r="K35">
        <v>430</v>
      </c>
      <c r="L35" t="s">
        <v>155</v>
      </c>
      <c r="M35" t="s">
        <v>153</v>
      </c>
      <c r="N35" t="s">
        <v>150</v>
      </c>
      <c r="O35" t="s">
        <v>153</v>
      </c>
      <c r="P35">
        <v>105.093</v>
      </c>
      <c r="Q35" t="s">
        <v>153</v>
      </c>
      <c r="R35" t="s">
        <v>153</v>
      </c>
      <c r="S35">
        <v>434</v>
      </c>
      <c r="T35" t="s">
        <v>119</v>
      </c>
      <c r="U35" t="s">
        <v>153</v>
      </c>
      <c r="V35" t="s">
        <v>120</v>
      </c>
      <c r="W35" t="s">
        <v>153</v>
      </c>
      <c r="X35">
        <v>147.131</v>
      </c>
      <c r="Y35" t="s">
        <v>153</v>
      </c>
      <c r="Z35" t="s">
        <v>153</v>
      </c>
      <c r="AA35">
        <v>435</v>
      </c>
      <c r="AB35" t="s">
        <v>145</v>
      </c>
      <c r="AC35" t="s">
        <v>69</v>
      </c>
      <c r="AD35" t="s">
        <v>71</v>
      </c>
      <c r="AE35" t="s">
        <v>69</v>
      </c>
      <c r="AF35">
        <v>131.17500000000001</v>
      </c>
      <c r="AG35" t="s">
        <v>69</v>
      </c>
      <c r="AH35" t="s">
        <v>69</v>
      </c>
      <c r="AI35">
        <v>436</v>
      </c>
      <c r="AJ35" t="s">
        <v>155</v>
      </c>
      <c r="AK35" t="s">
        <v>69</v>
      </c>
      <c r="AL35" t="s">
        <v>150</v>
      </c>
      <c r="AM35" t="s">
        <v>69</v>
      </c>
      <c r="AN35">
        <v>105.093</v>
      </c>
      <c r="AO35" t="s">
        <v>69</v>
      </c>
      <c r="AP35" t="s">
        <v>69</v>
      </c>
      <c r="AQ35">
        <v>493</v>
      </c>
      <c r="AR35" t="s">
        <v>119</v>
      </c>
      <c r="AS35" t="s">
        <v>69</v>
      </c>
      <c r="AT35" t="s">
        <v>120</v>
      </c>
      <c r="AU35" t="s">
        <v>69</v>
      </c>
      <c r="AV35">
        <v>147.131</v>
      </c>
      <c r="AW35" t="s">
        <v>69</v>
      </c>
      <c r="AX35" t="s">
        <v>69</v>
      </c>
      <c r="AY35">
        <v>494</v>
      </c>
      <c r="AZ35" t="s">
        <v>119</v>
      </c>
      <c r="BA35" t="s">
        <v>69</v>
      </c>
      <c r="BB35" t="s">
        <v>120</v>
      </c>
      <c r="BC35" t="s">
        <v>69</v>
      </c>
      <c r="BD35">
        <v>147.131</v>
      </c>
      <c r="BE35" t="s">
        <v>69</v>
      </c>
      <c r="BF35" t="s">
        <v>69</v>
      </c>
      <c r="BG35">
        <v>495</v>
      </c>
      <c r="BH35" t="s">
        <v>153</v>
      </c>
      <c r="BI35" t="s">
        <v>69</v>
      </c>
      <c r="BJ35" t="s">
        <v>148</v>
      </c>
      <c r="BK35" t="s">
        <v>69</v>
      </c>
      <c r="BL35">
        <v>132.119</v>
      </c>
      <c r="BM35" t="s">
        <v>69</v>
      </c>
      <c r="BN35" t="s">
        <v>69</v>
      </c>
      <c r="BO35">
        <v>537</v>
      </c>
      <c r="BP35" t="s">
        <v>119</v>
      </c>
      <c r="BQ35" t="s">
        <v>69</v>
      </c>
      <c r="BR35" t="s">
        <v>120</v>
      </c>
      <c r="BS35" t="s">
        <v>69</v>
      </c>
      <c r="BT35">
        <v>147.131</v>
      </c>
      <c r="BU35" t="s">
        <v>69</v>
      </c>
      <c r="BV35" t="s">
        <v>69</v>
      </c>
    </row>
    <row r="36" spans="1:74" x14ac:dyDescent="0.25">
      <c r="A36">
        <v>7</v>
      </c>
      <c r="B36" t="str">
        <f>HYPERLINK("http://www.ncbi.nlm.nih.gov/protein/XP_039528644.1","XP_039528644.1")</f>
        <v>XP_039528644.1</v>
      </c>
      <c r="C36">
        <v>96114</v>
      </c>
      <c r="D36" t="str">
        <f>HYPERLINK("http://www.ncbi.nlm.nih.gov/Taxonomy/Browser/wwwtax.cgi?mode=Info&amp;id=90988&amp;lvl=3&amp;lin=f&amp;keep=1&amp;srchmode=1&amp;unlock","90988")</f>
        <v>90988</v>
      </c>
      <c r="E36" t="s">
        <v>113</v>
      </c>
      <c r="F36" t="str">
        <f>HYPERLINK("http://www.ncbi.nlm.nih.gov/Taxonomy/Browser/wwwtax.cgi?mode=Info&amp;id=90988&amp;lvl=3&amp;lin=f&amp;keep=1&amp;srchmode=1&amp;unlock","Pimephales promelas")</f>
        <v>Pimephales promelas</v>
      </c>
      <c r="G36" t="s">
        <v>114</v>
      </c>
      <c r="H36" t="str">
        <f>HYPERLINK("http://www.ncbi.nlm.nih.gov/protein/XP_039528644.1","mitochondrial antiviral-signaling protein isoform X2")</f>
        <v>mitochondrial antiviral-signaling protein isoform X2</v>
      </c>
      <c r="I36" t="s">
        <v>263</v>
      </c>
      <c r="J36" t="s">
        <v>153</v>
      </c>
      <c r="K36">
        <v>409</v>
      </c>
      <c r="L36" t="s">
        <v>155</v>
      </c>
      <c r="M36" t="s">
        <v>153</v>
      </c>
      <c r="N36" t="s">
        <v>150</v>
      </c>
      <c r="O36" t="s">
        <v>153</v>
      </c>
      <c r="P36">
        <v>105.093</v>
      </c>
      <c r="Q36" t="s">
        <v>153</v>
      </c>
      <c r="R36" t="s">
        <v>153</v>
      </c>
      <c r="S36">
        <v>413</v>
      </c>
      <c r="T36" t="s">
        <v>119</v>
      </c>
      <c r="U36" t="s">
        <v>153</v>
      </c>
      <c r="V36" t="s">
        <v>120</v>
      </c>
      <c r="W36" t="s">
        <v>153</v>
      </c>
      <c r="X36">
        <v>147.131</v>
      </c>
      <c r="Y36" t="s">
        <v>153</v>
      </c>
      <c r="Z36" t="s">
        <v>153</v>
      </c>
      <c r="AA36">
        <v>414</v>
      </c>
      <c r="AB36" t="s">
        <v>145</v>
      </c>
      <c r="AC36" t="s">
        <v>69</v>
      </c>
      <c r="AD36" t="s">
        <v>71</v>
      </c>
      <c r="AE36" t="s">
        <v>69</v>
      </c>
      <c r="AF36">
        <v>131.17500000000001</v>
      </c>
      <c r="AG36" t="s">
        <v>69</v>
      </c>
      <c r="AH36" t="s">
        <v>69</v>
      </c>
      <c r="AI36">
        <v>415</v>
      </c>
      <c r="AJ36" t="s">
        <v>155</v>
      </c>
      <c r="AK36" t="s">
        <v>69</v>
      </c>
      <c r="AL36" t="s">
        <v>150</v>
      </c>
      <c r="AM36" t="s">
        <v>69</v>
      </c>
      <c r="AN36">
        <v>105.093</v>
      </c>
      <c r="AO36" t="s">
        <v>69</v>
      </c>
      <c r="AP36" t="s">
        <v>69</v>
      </c>
      <c r="AQ36">
        <v>432</v>
      </c>
      <c r="AR36" t="s">
        <v>119</v>
      </c>
      <c r="AS36" t="s">
        <v>69</v>
      </c>
      <c r="AT36" t="s">
        <v>120</v>
      </c>
      <c r="AU36" t="s">
        <v>69</v>
      </c>
      <c r="AV36">
        <v>147.131</v>
      </c>
      <c r="AW36" t="s">
        <v>69</v>
      </c>
      <c r="AX36" t="s">
        <v>69</v>
      </c>
      <c r="AY36">
        <v>433</v>
      </c>
      <c r="AZ36" t="s">
        <v>147</v>
      </c>
      <c r="BA36" t="s">
        <v>153</v>
      </c>
      <c r="BB36" t="s">
        <v>148</v>
      </c>
      <c r="BC36" t="s">
        <v>153</v>
      </c>
      <c r="BD36">
        <v>146.14599999999999</v>
      </c>
      <c r="BE36" t="s">
        <v>69</v>
      </c>
      <c r="BF36" t="s">
        <v>69</v>
      </c>
      <c r="BG36">
        <v>434</v>
      </c>
      <c r="BH36" t="s">
        <v>149</v>
      </c>
      <c r="BI36" t="s">
        <v>153</v>
      </c>
      <c r="BJ36" t="s">
        <v>150</v>
      </c>
      <c r="BK36" t="s">
        <v>153</v>
      </c>
      <c r="BL36">
        <v>119.119</v>
      </c>
      <c r="BM36" t="s">
        <v>69</v>
      </c>
      <c r="BN36" t="s">
        <v>69</v>
      </c>
      <c r="BO36" t="s">
        <v>159</v>
      </c>
      <c r="BP36" t="s">
        <v>159</v>
      </c>
      <c r="BQ36" t="s">
        <v>153</v>
      </c>
      <c r="BR36" t="s">
        <v>159</v>
      </c>
      <c r="BS36" t="s">
        <v>153</v>
      </c>
      <c r="BT36" t="s">
        <v>159</v>
      </c>
      <c r="BU36" t="s">
        <v>153</v>
      </c>
      <c r="BV36" t="s">
        <v>153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6"/>
  <sheetViews>
    <sheetView workbookViewId="0"/>
  </sheetViews>
  <sheetFormatPr defaultRowHeight="15" x14ac:dyDescent="0.25"/>
  <cols>
    <col min="8" max="8" width="46.5703125" customWidth="1"/>
  </cols>
  <sheetData>
    <row r="1" spans="1:42"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row>
    <row r="2" spans="1:42" x14ac:dyDescent="0.25">
      <c r="A2">
        <v>7</v>
      </c>
      <c r="B2" t="str">
        <f>HYPERLINK("http://www.ncbi.nlm.nih.gov/protein/NP_065797.2","NP_065797.2")</f>
        <v>NP_065797.2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HYPERLINK("http://www.ncbi.nlm.nih.gov/protein/NP_065797.2","mitochondrial antiviral-signaling protein isoform 1")</f>
        <v>mitochondrial antiviral-signaling protein isoform 1</v>
      </c>
      <c r="I2" t="s">
        <v>263</v>
      </c>
      <c r="J2" t="s">
        <v>69</v>
      </c>
      <c r="K2">
        <v>438</v>
      </c>
      <c r="L2" t="s">
        <v>156</v>
      </c>
      <c r="M2" t="s">
        <v>69</v>
      </c>
      <c r="N2" t="s">
        <v>120</v>
      </c>
      <c r="O2" t="s">
        <v>69</v>
      </c>
      <c r="P2">
        <v>133.10400000000001</v>
      </c>
      <c r="Q2" t="s">
        <v>69</v>
      </c>
      <c r="R2" t="s">
        <v>69</v>
      </c>
      <c r="S2">
        <v>439</v>
      </c>
      <c r="T2" t="s">
        <v>72</v>
      </c>
      <c r="U2" t="s">
        <v>69</v>
      </c>
      <c r="V2" t="s">
        <v>71</v>
      </c>
      <c r="W2" t="s">
        <v>69</v>
      </c>
      <c r="X2">
        <v>131.17500000000001</v>
      </c>
      <c r="Y2" t="s">
        <v>69</v>
      </c>
      <c r="Z2" t="s">
        <v>69</v>
      </c>
      <c r="AA2">
        <v>453</v>
      </c>
      <c r="AB2" t="s">
        <v>157</v>
      </c>
      <c r="AC2" t="s">
        <v>69</v>
      </c>
      <c r="AD2" t="s">
        <v>75</v>
      </c>
      <c r="AE2" t="s">
        <v>69</v>
      </c>
      <c r="AF2">
        <v>155.15600000000001</v>
      </c>
      <c r="AG2" t="s">
        <v>69</v>
      </c>
      <c r="AH2" t="s">
        <v>69</v>
      </c>
      <c r="AI2">
        <v>455</v>
      </c>
      <c r="AJ2" t="s">
        <v>146</v>
      </c>
      <c r="AK2" t="s">
        <v>69</v>
      </c>
      <c r="AL2" t="s">
        <v>71</v>
      </c>
      <c r="AM2" t="s">
        <v>69</v>
      </c>
      <c r="AN2">
        <v>115.13200000000001</v>
      </c>
      <c r="AO2" t="s">
        <v>69</v>
      </c>
      <c r="AP2" t="s">
        <v>69</v>
      </c>
    </row>
    <row r="3" spans="1:42" x14ac:dyDescent="0.25">
      <c r="A3">
        <v>7</v>
      </c>
      <c r="B3" t="str">
        <f>HYPERLINK("http://www.ncbi.nlm.nih.gov/protein/XP_030860612.1","XP_030860612.1")</f>
        <v>XP_030860612.1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HYPERLINK("http://www.ncbi.nlm.nih.gov/protein/XP_030860612.1","mitochondrial antiviral-signaling protein")</f>
        <v>mitochondrial antiviral-signaling protein</v>
      </c>
      <c r="I3" t="s">
        <v>263</v>
      </c>
      <c r="J3" t="s">
        <v>69</v>
      </c>
      <c r="K3">
        <v>438</v>
      </c>
      <c r="L3" t="s">
        <v>156</v>
      </c>
      <c r="M3" t="s">
        <v>69</v>
      </c>
      <c r="N3" t="s">
        <v>120</v>
      </c>
      <c r="O3" t="s">
        <v>69</v>
      </c>
      <c r="P3">
        <v>133.10400000000001</v>
      </c>
      <c r="Q3" t="s">
        <v>69</v>
      </c>
      <c r="R3" t="s">
        <v>69</v>
      </c>
      <c r="S3">
        <v>439</v>
      </c>
      <c r="T3" t="s">
        <v>72</v>
      </c>
      <c r="U3" t="s">
        <v>69</v>
      </c>
      <c r="V3" t="s">
        <v>71</v>
      </c>
      <c r="W3" t="s">
        <v>69</v>
      </c>
      <c r="X3">
        <v>131.17500000000001</v>
      </c>
      <c r="Y3" t="s">
        <v>69</v>
      </c>
      <c r="Z3" t="s">
        <v>69</v>
      </c>
      <c r="AA3">
        <v>453</v>
      </c>
      <c r="AB3" t="s">
        <v>157</v>
      </c>
      <c r="AC3" t="s">
        <v>69</v>
      </c>
      <c r="AD3" t="s">
        <v>75</v>
      </c>
      <c r="AE3" t="s">
        <v>69</v>
      </c>
      <c r="AF3">
        <v>155.15600000000001</v>
      </c>
      <c r="AG3" t="s">
        <v>69</v>
      </c>
      <c r="AH3" t="s">
        <v>69</v>
      </c>
      <c r="AI3">
        <v>455</v>
      </c>
      <c r="AJ3" t="s">
        <v>146</v>
      </c>
      <c r="AK3" t="s">
        <v>69</v>
      </c>
      <c r="AL3" t="s">
        <v>71</v>
      </c>
      <c r="AM3" t="s">
        <v>69</v>
      </c>
      <c r="AN3">
        <v>115.13200000000001</v>
      </c>
      <c r="AO3" t="s">
        <v>69</v>
      </c>
      <c r="AP3" t="s">
        <v>69</v>
      </c>
    </row>
    <row r="4" spans="1:42" x14ac:dyDescent="0.25">
      <c r="A4">
        <v>7</v>
      </c>
      <c r="B4" t="str">
        <f>HYPERLINK("http://www.ncbi.nlm.nih.gov/protein/NP_001036131.1","NP_001036131.1")</f>
        <v>NP_001036131.1</v>
      </c>
      <c r="C4">
        <v>178339</v>
      </c>
      <c r="D4" t="str">
        <f>HYPERLINK("http://www.ncbi.nlm.nih.gov/Taxonomy/Browser/wwwtax.cgi?mode=Info&amp;id=9544&amp;lvl=3&amp;lin=f&amp;keep=1&amp;srchmode=1&amp;unlock","9544")</f>
        <v>9544</v>
      </c>
      <c r="E4" t="s">
        <v>66</v>
      </c>
      <c r="F4" t="str">
        <f>HYPERLINK("http://www.ncbi.nlm.nih.gov/Taxonomy/Browser/wwwtax.cgi?mode=Info&amp;id=9544&amp;lvl=3&amp;lin=f&amp;keep=1&amp;srchmode=1&amp;unlock","Macaca mulatta")</f>
        <v>Macaca mulatta</v>
      </c>
      <c r="G4" t="s">
        <v>77</v>
      </c>
      <c r="H4" t="str">
        <f>HYPERLINK("http://www.ncbi.nlm.nih.gov/protein/NP_001036131.1","mitochondrial antiviral-signaling protein")</f>
        <v>mitochondrial antiviral-signaling protein</v>
      </c>
      <c r="I4" t="s">
        <v>263</v>
      </c>
      <c r="J4" t="s">
        <v>69</v>
      </c>
      <c r="K4">
        <v>439</v>
      </c>
      <c r="L4" t="s">
        <v>156</v>
      </c>
      <c r="M4" t="s">
        <v>69</v>
      </c>
      <c r="N4" t="s">
        <v>120</v>
      </c>
      <c r="O4" t="s">
        <v>69</v>
      </c>
      <c r="P4">
        <v>133.10400000000001</v>
      </c>
      <c r="Q4" t="s">
        <v>69</v>
      </c>
      <c r="R4" t="s">
        <v>69</v>
      </c>
      <c r="S4">
        <v>440</v>
      </c>
      <c r="T4" t="s">
        <v>72</v>
      </c>
      <c r="U4" t="s">
        <v>69</v>
      </c>
      <c r="V4" t="s">
        <v>71</v>
      </c>
      <c r="W4" t="s">
        <v>69</v>
      </c>
      <c r="X4">
        <v>131.17500000000001</v>
      </c>
      <c r="Y4" t="s">
        <v>69</v>
      </c>
      <c r="Z4" t="s">
        <v>69</v>
      </c>
      <c r="AA4">
        <v>454</v>
      </c>
      <c r="AB4" t="s">
        <v>74</v>
      </c>
      <c r="AC4" t="s">
        <v>153</v>
      </c>
      <c r="AD4" t="s">
        <v>75</v>
      </c>
      <c r="AE4" t="s">
        <v>69</v>
      </c>
      <c r="AF4">
        <v>174.203</v>
      </c>
      <c r="AG4" t="s">
        <v>69</v>
      </c>
      <c r="AH4" t="s">
        <v>69</v>
      </c>
      <c r="AI4">
        <v>456</v>
      </c>
      <c r="AJ4" t="s">
        <v>146</v>
      </c>
      <c r="AK4" t="s">
        <v>69</v>
      </c>
      <c r="AL4" t="s">
        <v>71</v>
      </c>
      <c r="AM4" t="s">
        <v>69</v>
      </c>
      <c r="AN4">
        <v>115.13200000000001</v>
      </c>
      <c r="AO4" t="s">
        <v>69</v>
      </c>
      <c r="AP4" t="s">
        <v>69</v>
      </c>
    </row>
    <row r="5" spans="1:42" x14ac:dyDescent="0.25">
      <c r="A5">
        <v>7</v>
      </c>
      <c r="B5" t="str">
        <f>HYPERLINK("http://www.ncbi.nlm.nih.gov/protein/NP_001266458.1","NP_001266458.1")</f>
        <v>NP_001266458.1</v>
      </c>
      <c r="C5">
        <v>73529</v>
      </c>
      <c r="D5" t="str">
        <f>HYPERLINK("http://www.ncbi.nlm.nih.gov/Taxonomy/Browser/wwwtax.cgi?mode=Info&amp;id=9555&amp;lvl=3&amp;lin=f&amp;keep=1&amp;srchmode=1&amp;unlock","9555")</f>
        <v>9555</v>
      </c>
      <c r="E5" t="s">
        <v>66</v>
      </c>
      <c r="F5" t="str">
        <f>HYPERLINK("http://www.ncbi.nlm.nih.gov/Taxonomy/Browser/wwwtax.cgi?mode=Info&amp;id=9555&amp;lvl=3&amp;lin=f&amp;keep=1&amp;srchmode=1&amp;unlock","Papio anubis")</f>
        <v>Papio anubis</v>
      </c>
      <c r="G5" t="s">
        <v>80</v>
      </c>
      <c r="H5" t="str">
        <f>HYPERLINK("http://www.ncbi.nlm.nih.gov/protein/NP_001266458.1","mitochondrial antiviral-signaling protein")</f>
        <v>mitochondrial antiviral-signaling protein</v>
      </c>
      <c r="I5" t="s">
        <v>263</v>
      </c>
      <c r="J5" t="s">
        <v>69</v>
      </c>
      <c r="K5">
        <v>439</v>
      </c>
      <c r="L5" t="s">
        <v>156</v>
      </c>
      <c r="M5" t="s">
        <v>69</v>
      </c>
      <c r="N5" t="s">
        <v>120</v>
      </c>
      <c r="O5" t="s">
        <v>69</v>
      </c>
      <c r="P5">
        <v>133.10400000000001</v>
      </c>
      <c r="Q5" t="s">
        <v>69</v>
      </c>
      <c r="R5" t="s">
        <v>69</v>
      </c>
      <c r="S5">
        <v>440</v>
      </c>
      <c r="T5" t="s">
        <v>72</v>
      </c>
      <c r="U5" t="s">
        <v>69</v>
      </c>
      <c r="V5" t="s">
        <v>71</v>
      </c>
      <c r="W5" t="s">
        <v>69</v>
      </c>
      <c r="X5">
        <v>131.17500000000001</v>
      </c>
      <c r="Y5" t="s">
        <v>69</v>
      </c>
      <c r="Z5" t="s">
        <v>69</v>
      </c>
      <c r="AA5">
        <v>454</v>
      </c>
      <c r="AB5" t="s">
        <v>157</v>
      </c>
      <c r="AC5" t="s">
        <v>69</v>
      </c>
      <c r="AD5" t="s">
        <v>75</v>
      </c>
      <c r="AE5" t="s">
        <v>69</v>
      </c>
      <c r="AF5">
        <v>155.15600000000001</v>
      </c>
      <c r="AG5" t="s">
        <v>69</v>
      </c>
      <c r="AH5" t="s">
        <v>69</v>
      </c>
      <c r="AI5">
        <v>456</v>
      </c>
      <c r="AJ5" t="s">
        <v>146</v>
      </c>
      <c r="AK5" t="s">
        <v>69</v>
      </c>
      <c r="AL5" t="s">
        <v>71</v>
      </c>
      <c r="AM5" t="s">
        <v>69</v>
      </c>
      <c r="AN5">
        <v>115.13200000000001</v>
      </c>
      <c r="AO5" t="s">
        <v>69</v>
      </c>
      <c r="AP5" t="s">
        <v>69</v>
      </c>
    </row>
    <row r="6" spans="1:42" x14ac:dyDescent="0.25">
      <c r="A6">
        <v>7</v>
      </c>
      <c r="B6" t="str">
        <f>HYPERLINK("http://www.ncbi.nlm.nih.gov/protein/XP_008017927.2","XP_008017927.2")</f>
        <v>XP_008017927.2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HYPERLINK("http://www.ncbi.nlm.nih.gov/protein/XP_008017927.2","mitochondrial antiviral-signaling protein")</f>
        <v>mitochondrial antiviral-signaling protein</v>
      </c>
      <c r="I6" t="s">
        <v>263</v>
      </c>
      <c r="J6" t="s">
        <v>69</v>
      </c>
      <c r="K6">
        <v>438</v>
      </c>
      <c r="L6" t="s">
        <v>156</v>
      </c>
      <c r="M6" t="s">
        <v>69</v>
      </c>
      <c r="N6" t="s">
        <v>120</v>
      </c>
      <c r="O6" t="s">
        <v>69</v>
      </c>
      <c r="P6">
        <v>133.10400000000001</v>
      </c>
      <c r="Q6" t="s">
        <v>69</v>
      </c>
      <c r="R6" t="s">
        <v>69</v>
      </c>
      <c r="S6">
        <v>439</v>
      </c>
      <c r="T6" t="s">
        <v>72</v>
      </c>
      <c r="U6" t="s">
        <v>69</v>
      </c>
      <c r="V6" t="s">
        <v>71</v>
      </c>
      <c r="W6" t="s">
        <v>69</v>
      </c>
      <c r="X6">
        <v>131.17500000000001</v>
      </c>
      <c r="Y6" t="s">
        <v>69</v>
      </c>
      <c r="Z6" t="s">
        <v>69</v>
      </c>
      <c r="AA6">
        <v>453</v>
      </c>
      <c r="AB6" t="s">
        <v>157</v>
      </c>
      <c r="AC6" t="s">
        <v>69</v>
      </c>
      <c r="AD6" t="s">
        <v>75</v>
      </c>
      <c r="AE6" t="s">
        <v>69</v>
      </c>
      <c r="AF6">
        <v>155.15600000000001</v>
      </c>
      <c r="AG6" t="s">
        <v>69</v>
      </c>
      <c r="AH6" t="s">
        <v>69</v>
      </c>
      <c r="AI6">
        <v>455</v>
      </c>
      <c r="AJ6" t="s">
        <v>146</v>
      </c>
      <c r="AK6" t="s">
        <v>69</v>
      </c>
      <c r="AL6" t="s">
        <v>71</v>
      </c>
      <c r="AM6" t="s">
        <v>69</v>
      </c>
      <c r="AN6">
        <v>115.13200000000001</v>
      </c>
      <c r="AO6" t="s">
        <v>69</v>
      </c>
      <c r="AP6" t="s">
        <v>69</v>
      </c>
    </row>
    <row r="7" spans="1:42" x14ac:dyDescent="0.25">
      <c r="A7">
        <v>7</v>
      </c>
      <c r="B7" t="str">
        <f>HYPERLINK("http://www.ncbi.nlm.nih.gov/protein/XP_035154175.1","XP_035154175.1")</f>
        <v>XP_035154175.1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HYPERLINK("http://www.ncbi.nlm.nih.gov/protein/XP_035154175.1","mitochondrial antiviral-signaling protein isoform X1")</f>
        <v>mitochondrial antiviral-signaling protein isoform X1</v>
      </c>
      <c r="I7" t="s">
        <v>263</v>
      </c>
      <c r="J7" t="s">
        <v>69</v>
      </c>
      <c r="K7">
        <v>430</v>
      </c>
      <c r="L7" t="s">
        <v>156</v>
      </c>
      <c r="M7" t="s">
        <v>69</v>
      </c>
      <c r="N7" t="s">
        <v>120</v>
      </c>
      <c r="O7" t="s">
        <v>69</v>
      </c>
      <c r="P7">
        <v>133.10400000000001</v>
      </c>
      <c r="Q7" t="s">
        <v>69</v>
      </c>
      <c r="R7" t="s">
        <v>69</v>
      </c>
      <c r="S7">
        <v>431</v>
      </c>
      <c r="T7" t="s">
        <v>72</v>
      </c>
      <c r="U7" t="s">
        <v>69</v>
      </c>
      <c r="V7" t="s">
        <v>71</v>
      </c>
      <c r="W7" t="s">
        <v>69</v>
      </c>
      <c r="X7">
        <v>131.17500000000001</v>
      </c>
      <c r="Y7" t="s">
        <v>69</v>
      </c>
      <c r="Z7" t="s">
        <v>69</v>
      </c>
      <c r="AA7">
        <v>445</v>
      </c>
      <c r="AB7" t="s">
        <v>157</v>
      </c>
      <c r="AC7" t="s">
        <v>69</v>
      </c>
      <c r="AD7" t="s">
        <v>75</v>
      </c>
      <c r="AE7" t="s">
        <v>69</v>
      </c>
      <c r="AF7">
        <v>155.15600000000001</v>
      </c>
      <c r="AG7" t="s">
        <v>69</v>
      </c>
      <c r="AH7" t="s">
        <v>69</v>
      </c>
      <c r="AI7">
        <v>447</v>
      </c>
      <c r="AJ7" t="s">
        <v>146</v>
      </c>
      <c r="AK7" t="s">
        <v>69</v>
      </c>
      <c r="AL7" t="s">
        <v>71</v>
      </c>
      <c r="AM7" t="s">
        <v>69</v>
      </c>
      <c r="AN7">
        <v>115.13200000000001</v>
      </c>
      <c r="AO7" t="s">
        <v>69</v>
      </c>
      <c r="AP7" t="s">
        <v>69</v>
      </c>
    </row>
    <row r="8" spans="1:42" x14ac:dyDescent="0.25">
      <c r="A8">
        <v>7</v>
      </c>
      <c r="B8" t="str">
        <f>HYPERLINK("http://www.ncbi.nlm.nih.gov/protein/XP_006164034.1","XP_006164034.1")</f>
        <v>XP_006164034.1</v>
      </c>
      <c r="C8">
        <v>59507</v>
      </c>
      <c r="D8" t="str">
        <f>HYPERLINK("http://www.ncbi.nlm.nih.gov/Taxonomy/Browser/wwwtax.cgi?mode=Info&amp;id=246437&amp;lvl=3&amp;lin=f&amp;keep=1&amp;srchmode=1&amp;unlock","246437")</f>
        <v>246437</v>
      </c>
      <c r="E8" t="s">
        <v>66</v>
      </c>
      <c r="F8" t="str">
        <f>HYPERLINK("http://www.ncbi.nlm.nih.gov/Taxonomy/Browser/wwwtax.cgi?mode=Info&amp;id=246437&amp;lvl=3&amp;lin=f&amp;keep=1&amp;srchmode=1&amp;unlock","Tupaia chinensis")</f>
        <v>Tupaia chinensis</v>
      </c>
      <c r="G8" t="s">
        <v>97</v>
      </c>
      <c r="H8" t="str">
        <f>HYPERLINK("http://www.ncbi.nlm.nih.gov/protein/XP_006164034.1","mitochondrial antiviral-signaling protein")</f>
        <v>mitochondrial antiviral-signaling protein</v>
      </c>
      <c r="I8" t="s">
        <v>263</v>
      </c>
      <c r="J8" t="s">
        <v>69</v>
      </c>
      <c r="K8">
        <v>407</v>
      </c>
      <c r="L8" t="s">
        <v>156</v>
      </c>
      <c r="M8" t="s">
        <v>69</v>
      </c>
      <c r="N8" t="s">
        <v>120</v>
      </c>
      <c r="O8" t="s">
        <v>69</v>
      </c>
      <c r="P8">
        <v>133.10400000000001</v>
      </c>
      <c r="Q8" t="s">
        <v>69</v>
      </c>
      <c r="R8" t="s">
        <v>69</v>
      </c>
      <c r="S8">
        <v>408</v>
      </c>
      <c r="T8" t="s">
        <v>72</v>
      </c>
      <c r="U8" t="s">
        <v>69</v>
      </c>
      <c r="V8" t="s">
        <v>71</v>
      </c>
      <c r="W8" t="s">
        <v>69</v>
      </c>
      <c r="X8">
        <v>131.17500000000001</v>
      </c>
      <c r="Y8" t="s">
        <v>69</v>
      </c>
      <c r="Z8" t="s">
        <v>69</v>
      </c>
      <c r="AA8">
        <v>422</v>
      </c>
      <c r="AB8" t="s">
        <v>72</v>
      </c>
      <c r="AC8" t="s">
        <v>153</v>
      </c>
      <c r="AD8" t="s">
        <v>71</v>
      </c>
      <c r="AE8" t="s">
        <v>153</v>
      </c>
      <c r="AF8">
        <v>131.17500000000001</v>
      </c>
      <c r="AG8" t="s">
        <v>69</v>
      </c>
      <c r="AH8" t="s">
        <v>69</v>
      </c>
      <c r="AI8">
        <v>424</v>
      </c>
      <c r="AJ8" t="s">
        <v>146</v>
      </c>
      <c r="AK8" t="s">
        <v>69</v>
      </c>
      <c r="AL8" t="s">
        <v>71</v>
      </c>
      <c r="AM8" t="s">
        <v>69</v>
      </c>
      <c r="AN8">
        <v>115.13200000000001</v>
      </c>
      <c r="AO8" t="s">
        <v>69</v>
      </c>
      <c r="AP8" t="s">
        <v>69</v>
      </c>
    </row>
    <row r="9" spans="1:42" x14ac:dyDescent="0.25">
      <c r="A9">
        <v>7</v>
      </c>
      <c r="B9" t="str">
        <f>HYPERLINK("http://www.ncbi.nlm.nih.gov/protein/AJT59489.1","AJT59489.1")</f>
        <v>AJT59489.1</v>
      </c>
      <c r="C9">
        <v>382</v>
      </c>
      <c r="D9" t="str">
        <f>HYPERLINK("http://www.ncbi.nlm.nih.gov/Taxonomy/Browser/wwwtax.cgi?mode=Info&amp;id=37347&amp;lvl=3&amp;lin=f&amp;keep=1&amp;srchmode=1&amp;unlock","37347")</f>
        <v>37347</v>
      </c>
      <c r="E9" t="s">
        <v>66</v>
      </c>
      <c r="F9" t="str">
        <f>HYPERLINK("http://www.ncbi.nlm.nih.gov/Taxonomy/Browser/wwwtax.cgi?mode=Info&amp;id=37347&amp;lvl=3&amp;lin=f&amp;keep=1&amp;srchmode=1&amp;unlock","Tupaia belangeri")</f>
        <v>Tupaia belangeri</v>
      </c>
      <c r="G9" t="s">
        <v>262</v>
      </c>
      <c r="H9" t="str">
        <f>HYPERLINK("http://www.ncbi.nlm.nih.gov/protein/AJT59489.1","MAVS")</f>
        <v>MAVS</v>
      </c>
      <c r="I9" t="s">
        <v>263</v>
      </c>
      <c r="J9" t="s">
        <v>69</v>
      </c>
      <c r="K9">
        <v>405</v>
      </c>
      <c r="L9" t="s">
        <v>156</v>
      </c>
      <c r="M9" t="s">
        <v>69</v>
      </c>
      <c r="N9" t="s">
        <v>120</v>
      </c>
      <c r="O9" t="s">
        <v>69</v>
      </c>
      <c r="P9">
        <v>133.10400000000001</v>
      </c>
      <c r="Q9" t="s">
        <v>69</v>
      </c>
      <c r="R9" t="s">
        <v>69</v>
      </c>
      <c r="S9">
        <v>406</v>
      </c>
      <c r="T9" t="s">
        <v>72</v>
      </c>
      <c r="U9" t="s">
        <v>69</v>
      </c>
      <c r="V9" t="s">
        <v>71</v>
      </c>
      <c r="W9" t="s">
        <v>69</v>
      </c>
      <c r="X9">
        <v>131.17500000000001</v>
      </c>
      <c r="Y9" t="s">
        <v>69</v>
      </c>
      <c r="Z9" t="s">
        <v>69</v>
      </c>
      <c r="AA9">
        <v>420</v>
      </c>
      <c r="AB9" t="s">
        <v>72</v>
      </c>
      <c r="AC9" t="s">
        <v>153</v>
      </c>
      <c r="AD9" t="s">
        <v>71</v>
      </c>
      <c r="AE9" t="s">
        <v>153</v>
      </c>
      <c r="AF9">
        <v>131.17500000000001</v>
      </c>
      <c r="AG9" t="s">
        <v>69</v>
      </c>
      <c r="AH9" t="s">
        <v>69</v>
      </c>
      <c r="AI9">
        <v>422</v>
      </c>
      <c r="AJ9" t="s">
        <v>146</v>
      </c>
      <c r="AK9" t="s">
        <v>69</v>
      </c>
      <c r="AL9" t="s">
        <v>71</v>
      </c>
      <c r="AM9" t="s">
        <v>69</v>
      </c>
      <c r="AN9">
        <v>115.13200000000001</v>
      </c>
      <c r="AO9" t="s">
        <v>69</v>
      </c>
      <c r="AP9" t="s">
        <v>69</v>
      </c>
    </row>
    <row r="10" spans="1:42" x14ac:dyDescent="0.25">
      <c r="A10">
        <v>7</v>
      </c>
      <c r="B10" t="str">
        <f>HYPERLINK("http://www.ncbi.nlm.nih.gov/protein/ANQ45220.1","ANQ45220.1")</f>
        <v>ANQ45220.1</v>
      </c>
      <c r="C10">
        <v>136186</v>
      </c>
      <c r="D10" t="str">
        <f>HYPERLINK("http://www.ncbi.nlm.nih.gov/Taxonomy/Browser/wwwtax.cgi?mode=Info&amp;id=9913&amp;lvl=3&amp;lin=f&amp;keep=1&amp;srchmode=1&amp;unlock","9913")</f>
        <v>9913</v>
      </c>
      <c r="E10" t="s">
        <v>66</v>
      </c>
      <c r="F10" t="str">
        <f>HYPERLINK("http://www.ncbi.nlm.nih.gov/Taxonomy/Browser/wwwtax.cgi?mode=Info&amp;id=9913&amp;lvl=3&amp;lin=f&amp;keep=1&amp;srchmode=1&amp;unlock","Bos taurus")</f>
        <v>Bos taurus</v>
      </c>
      <c r="G10" t="s">
        <v>82</v>
      </c>
      <c r="H10" t="str">
        <f>HYPERLINK("http://www.ncbi.nlm.nih.gov/protein/ANQ45220.1","VISA")</f>
        <v>VISA</v>
      </c>
      <c r="I10" t="s">
        <v>263</v>
      </c>
      <c r="J10" t="s">
        <v>69</v>
      </c>
      <c r="K10">
        <v>429</v>
      </c>
      <c r="L10" t="s">
        <v>156</v>
      </c>
      <c r="M10" t="s">
        <v>69</v>
      </c>
      <c r="N10" t="s">
        <v>120</v>
      </c>
      <c r="O10" t="s">
        <v>69</v>
      </c>
      <c r="P10">
        <v>133.10400000000001</v>
      </c>
      <c r="Q10" t="s">
        <v>69</v>
      </c>
      <c r="R10" t="s">
        <v>69</v>
      </c>
      <c r="S10">
        <v>430</v>
      </c>
      <c r="T10" t="s">
        <v>72</v>
      </c>
      <c r="U10" t="s">
        <v>69</v>
      </c>
      <c r="V10" t="s">
        <v>71</v>
      </c>
      <c r="W10" t="s">
        <v>69</v>
      </c>
      <c r="X10">
        <v>131.17500000000001</v>
      </c>
      <c r="Y10" t="s">
        <v>69</v>
      </c>
      <c r="Z10" t="s">
        <v>69</v>
      </c>
      <c r="AA10">
        <v>444</v>
      </c>
      <c r="AB10" t="s">
        <v>153</v>
      </c>
      <c r="AC10" t="s">
        <v>153</v>
      </c>
      <c r="AD10" t="s">
        <v>148</v>
      </c>
      <c r="AE10" t="s">
        <v>153</v>
      </c>
      <c r="AF10">
        <v>132.119</v>
      </c>
      <c r="AG10" t="s">
        <v>69</v>
      </c>
      <c r="AH10" t="s">
        <v>69</v>
      </c>
      <c r="AI10">
        <v>446</v>
      </c>
      <c r="AJ10" t="s">
        <v>146</v>
      </c>
      <c r="AK10" t="s">
        <v>69</v>
      </c>
      <c r="AL10" t="s">
        <v>71</v>
      </c>
      <c r="AM10" t="s">
        <v>69</v>
      </c>
      <c r="AN10">
        <v>115.13200000000001</v>
      </c>
      <c r="AO10" t="s">
        <v>69</v>
      </c>
      <c r="AP10" t="s">
        <v>69</v>
      </c>
    </row>
    <row r="11" spans="1:42" x14ac:dyDescent="0.25">
      <c r="A11">
        <v>7</v>
      </c>
      <c r="B11" t="str">
        <f>HYPERLINK("http://www.ncbi.nlm.nih.gov/protein/XP_047395656.1","XP_047395656.1")</f>
        <v>XP_047395656.1</v>
      </c>
      <c r="C11">
        <v>74939</v>
      </c>
      <c r="D11" t="str">
        <f>HYPERLINK("http://www.ncbi.nlm.nih.gov/Taxonomy/Browser/wwwtax.cgi?mode=Info&amp;id=30640&amp;lvl=3&amp;lin=f&amp;keep=1&amp;srchmode=1&amp;unlock","30640")</f>
        <v>30640</v>
      </c>
      <c r="E11" t="s">
        <v>66</v>
      </c>
      <c r="F11" t="str">
        <f>HYPERLINK("http://www.ncbi.nlm.nih.gov/Taxonomy/Browser/wwwtax.cgi?mode=Info&amp;id=30640&amp;lvl=3&amp;lin=f&amp;keep=1&amp;srchmode=1&amp;unlock","Neosciurus carolinensis")</f>
        <v>Neosciurus carolinensis</v>
      </c>
      <c r="G11" t="s">
        <v>101</v>
      </c>
      <c r="H11" t="str">
        <f>HYPERLINK("http://www.ncbi.nlm.nih.gov/protein/XP_047395656.1","mitochondrial antiviral-signaling protein-like")</f>
        <v>mitochondrial antiviral-signaling protein-like</v>
      </c>
      <c r="I11" t="s">
        <v>263</v>
      </c>
      <c r="J11" t="s">
        <v>69</v>
      </c>
      <c r="K11">
        <v>418</v>
      </c>
      <c r="L11" t="s">
        <v>156</v>
      </c>
      <c r="M11" t="s">
        <v>69</v>
      </c>
      <c r="N11" t="s">
        <v>120</v>
      </c>
      <c r="O11" t="s">
        <v>69</v>
      </c>
      <c r="P11">
        <v>133.10400000000001</v>
      </c>
      <c r="Q11" t="s">
        <v>69</v>
      </c>
      <c r="R11" t="s">
        <v>69</v>
      </c>
      <c r="S11">
        <v>419</v>
      </c>
      <c r="T11" t="s">
        <v>72</v>
      </c>
      <c r="U11" t="s">
        <v>69</v>
      </c>
      <c r="V11" t="s">
        <v>71</v>
      </c>
      <c r="W11" t="s">
        <v>69</v>
      </c>
      <c r="X11">
        <v>131.17500000000001</v>
      </c>
      <c r="Y11" t="s">
        <v>69</v>
      </c>
      <c r="Z11" t="s">
        <v>69</v>
      </c>
      <c r="AA11">
        <v>431</v>
      </c>
      <c r="AB11" t="s">
        <v>147</v>
      </c>
      <c r="AC11" t="s">
        <v>153</v>
      </c>
      <c r="AD11" t="s">
        <v>148</v>
      </c>
      <c r="AE11" t="s">
        <v>153</v>
      </c>
      <c r="AF11">
        <v>146.14599999999999</v>
      </c>
      <c r="AG11" t="s">
        <v>69</v>
      </c>
      <c r="AH11" t="s">
        <v>69</v>
      </c>
      <c r="AI11">
        <v>433</v>
      </c>
      <c r="AJ11" t="s">
        <v>146</v>
      </c>
      <c r="AK11" t="s">
        <v>69</v>
      </c>
      <c r="AL11" t="s">
        <v>71</v>
      </c>
      <c r="AM11" t="s">
        <v>69</v>
      </c>
      <c r="AN11">
        <v>115.13200000000001</v>
      </c>
      <c r="AO11" t="s">
        <v>69</v>
      </c>
      <c r="AP11" t="s">
        <v>69</v>
      </c>
    </row>
    <row r="12" spans="1:42" x14ac:dyDescent="0.25">
      <c r="A12">
        <v>7</v>
      </c>
      <c r="B12" t="str">
        <f>HYPERLINK("http://www.ncbi.nlm.nih.gov/protein/XP_044119313.1","XP_044119313.1")</f>
        <v>XP_044119313.1</v>
      </c>
      <c r="C12">
        <v>44640</v>
      </c>
      <c r="D12" t="str">
        <f>HYPERLINK("http://www.ncbi.nlm.nih.gov/Taxonomy/Browser/wwwtax.cgi?mode=Info&amp;id=452646&amp;lvl=3&amp;lin=f&amp;keep=1&amp;srchmode=1&amp;unlock","452646")</f>
        <v>452646</v>
      </c>
      <c r="E12" t="s">
        <v>66</v>
      </c>
      <c r="F12" t="str">
        <f>HYPERLINK("http://www.ncbi.nlm.nih.gov/Taxonomy/Browser/wwwtax.cgi?mode=Info&amp;id=452646&amp;lvl=3&amp;lin=f&amp;keep=1&amp;srchmode=1&amp;unlock","Neogale vison")</f>
        <v>Neogale vison</v>
      </c>
      <c r="G12" t="s">
        <v>96</v>
      </c>
      <c r="H12" t="str">
        <f>HYPERLINK("http://www.ncbi.nlm.nih.gov/protein/XP_044119313.1","mitochondrial antiviral-signaling protein")</f>
        <v>mitochondrial antiviral-signaling protein</v>
      </c>
      <c r="I12" t="s">
        <v>263</v>
      </c>
      <c r="J12" t="s">
        <v>69</v>
      </c>
      <c r="K12">
        <v>432</v>
      </c>
      <c r="L12" t="s">
        <v>156</v>
      </c>
      <c r="M12" t="s">
        <v>69</v>
      </c>
      <c r="N12" t="s">
        <v>120</v>
      </c>
      <c r="O12" t="s">
        <v>69</v>
      </c>
      <c r="P12">
        <v>133.10400000000001</v>
      </c>
      <c r="Q12" t="s">
        <v>69</v>
      </c>
      <c r="R12" t="s">
        <v>69</v>
      </c>
      <c r="S12">
        <v>433</v>
      </c>
      <c r="T12" t="s">
        <v>72</v>
      </c>
      <c r="U12" t="s">
        <v>69</v>
      </c>
      <c r="V12" t="s">
        <v>71</v>
      </c>
      <c r="W12" t="s">
        <v>69</v>
      </c>
      <c r="X12">
        <v>131.17500000000001</v>
      </c>
      <c r="Y12" t="s">
        <v>69</v>
      </c>
      <c r="Z12" t="s">
        <v>69</v>
      </c>
      <c r="AA12">
        <v>447</v>
      </c>
      <c r="AB12" t="s">
        <v>153</v>
      </c>
      <c r="AC12" t="s">
        <v>153</v>
      </c>
      <c r="AD12" t="s">
        <v>148</v>
      </c>
      <c r="AE12" t="s">
        <v>153</v>
      </c>
      <c r="AF12">
        <v>132.119</v>
      </c>
      <c r="AG12" t="s">
        <v>69</v>
      </c>
      <c r="AH12" t="s">
        <v>69</v>
      </c>
      <c r="AI12">
        <v>449</v>
      </c>
      <c r="AJ12" t="s">
        <v>146</v>
      </c>
      <c r="AK12" t="s">
        <v>69</v>
      </c>
      <c r="AL12" t="s">
        <v>71</v>
      </c>
      <c r="AM12" t="s">
        <v>69</v>
      </c>
      <c r="AN12">
        <v>115.13200000000001</v>
      </c>
      <c r="AO12" t="s">
        <v>69</v>
      </c>
      <c r="AP12" t="s">
        <v>69</v>
      </c>
    </row>
    <row r="13" spans="1:42" x14ac:dyDescent="0.25">
      <c r="A13">
        <v>7</v>
      </c>
      <c r="B13" t="str">
        <f>HYPERLINK("http://www.ncbi.nlm.nih.gov/protein/XP_005672820.1","XP_005672820.1")</f>
        <v>XP_005672820.1</v>
      </c>
      <c r="C13">
        <v>86952</v>
      </c>
      <c r="D13" t="str">
        <f>HYPERLINK("http://www.ncbi.nlm.nih.gov/Taxonomy/Browser/wwwtax.cgi?mode=Info&amp;id=9823&amp;lvl=3&amp;lin=f&amp;keep=1&amp;srchmode=1&amp;unlock","9823")</f>
        <v>9823</v>
      </c>
      <c r="E13" t="s">
        <v>66</v>
      </c>
      <c r="F13" t="str">
        <f>HYPERLINK("http://www.ncbi.nlm.nih.gov/Taxonomy/Browser/wwwtax.cgi?mode=Info&amp;id=9823&amp;lvl=3&amp;lin=f&amp;keep=1&amp;srchmode=1&amp;unlock","Sus scrofa")</f>
        <v>Sus scrofa</v>
      </c>
      <c r="G13" t="s">
        <v>85</v>
      </c>
      <c r="H13" t="str">
        <f>HYPERLINK("http://www.ncbi.nlm.nih.gov/protein/XP_005672820.1","mitochondrial antiviral-signaling protein isoform X1")</f>
        <v>mitochondrial antiviral-signaling protein isoform X1</v>
      </c>
      <c r="I13" t="s">
        <v>263</v>
      </c>
      <c r="J13" t="s">
        <v>69</v>
      </c>
      <c r="K13">
        <v>428</v>
      </c>
      <c r="L13" t="s">
        <v>156</v>
      </c>
      <c r="M13" t="s">
        <v>69</v>
      </c>
      <c r="N13" t="s">
        <v>120</v>
      </c>
      <c r="O13" t="s">
        <v>69</v>
      </c>
      <c r="P13">
        <v>133.10400000000001</v>
      </c>
      <c r="Q13" t="s">
        <v>69</v>
      </c>
      <c r="R13" t="s">
        <v>69</v>
      </c>
      <c r="S13">
        <v>429</v>
      </c>
      <c r="T13" t="s">
        <v>72</v>
      </c>
      <c r="U13" t="s">
        <v>69</v>
      </c>
      <c r="V13" t="s">
        <v>71</v>
      </c>
      <c r="W13" t="s">
        <v>69</v>
      </c>
      <c r="X13">
        <v>131.17500000000001</v>
      </c>
      <c r="Y13" t="s">
        <v>69</v>
      </c>
      <c r="Z13" t="s">
        <v>69</v>
      </c>
      <c r="AA13">
        <v>443</v>
      </c>
      <c r="AB13" t="s">
        <v>153</v>
      </c>
      <c r="AC13" t="s">
        <v>153</v>
      </c>
      <c r="AD13" t="s">
        <v>148</v>
      </c>
      <c r="AE13" t="s">
        <v>153</v>
      </c>
      <c r="AF13">
        <v>132.119</v>
      </c>
      <c r="AG13" t="s">
        <v>69</v>
      </c>
      <c r="AH13" t="s">
        <v>69</v>
      </c>
      <c r="AI13">
        <v>445</v>
      </c>
      <c r="AJ13" t="s">
        <v>146</v>
      </c>
      <c r="AK13" t="s">
        <v>69</v>
      </c>
      <c r="AL13" t="s">
        <v>71</v>
      </c>
      <c r="AM13" t="s">
        <v>69</v>
      </c>
      <c r="AN13">
        <v>115.13200000000001</v>
      </c>
      <c r="AO13" t="s">
        <v>69</v>
      </c>
      <c r="AP13" t="s">
        <v>69</v>
      </c>
    </row>
    <row r="14" spans="1:42" x14ac:dyDescent="0.25">
      <c r="A14">
        <v>7</v>
      </c>
      <c r="B14" t="str">
        <f>HYPERLINK("http://www.ncbi.nlm.nih.gov/protein/XP_042836779.1","XP_042836779.1")</f>
        <v>XP_042836779.1</v>
      </c>
      <c r="C14">
        <v>56089</v>
      </c>
      <c r="D14" t="str">
        <f>HYPERLINK("http://www.ncbi.nlm.nih.gov/Taxonomy/Browser/wwwtax.cgi?mode=Info&amp;id=9694&amp;lvl=3&amp;lin=f&amp;keep=1&amp;srchmode=1&amp;unlock","9694")</f>
        <v>9694</v>
      </c>
      <c r="E14" t="s">
        <v>66</v>
      </c>
      <c r="F14" t="str">
        <f>HYPERLINK("http://www.ncbi.nlm.nih.gov/Taxonomy/Browser/wwwtax.cgi?mode=Info&amp;id=9694&amp;lvl=3&amp;lin=f&amp;keep=1&amp;srchmode=1&amp;unlock","Panthera tigris")</f>
        <v>Panthera tigris</v>
      </c>
      <c r="G14" t="s">
        <v>89</v>
      </c>
      <c r="H14" t="str">
        <f>HYPERLINK("http://www.ncbi.nlm.nih.gov/protein/XP_042836779.1","mitochondrial antiviral-signaling protein isoform X2")</f>
        <v>mitochondrial antiviral-signaling protein isoform X2</v>
      </c>
      <c r="I14" t="s">
        <v>263</v>
      </c>
      <c r="J14" t="s">
        <v>69</v>
      </c>
      <c r="K14">
        <v>433</v>
      </c>
      <c r="L14" t="s">
        <v>156</v>
      </c>
      <c r="M14" t="s">
        <v>69</v>
      </c>
      <c r="N14" t="s">
        <v>120</v>
      </c>
      <c r="O14" t="s">
        <v>69</v>
      </c>
      <c r="P14">
        <v>133.10400000000001</v>
      </c>
      <c r="Q14" t="s">
        <v>69</v>
      </c>
      <c r="R14" t="s">
        <v>69</v>
      </c>
      <c r="S14">
        <v>434</v>
      </c>
      <c r="T14" t="s">
        <v>72</v>
      </c>
      <c r="U14" t="s">
        <v>69</v>
      </c>
      <c r="V14" t="s">
        <v>71</v>
      </c>
      <c r="W14" t="s">
        <v>69</v>
      </c>
      <c r="X14">
        <v>131.17500000000001</v>
      </c>
      <c r="Y14" t="s">
        <v>69</v>
      </c>
      <c r="Z14" t="s">
        <v>69</v>
      </c>
      <c r="AA14">
        <v>448</v>
      </c>
      <c r="AB14" t="s">
        <v>153</v>
      </c>
      <c r="AC14" t="s">
        <v>153</v>
      </c>
      <c r="AD14" t="s">
        <v>148</v>
      </c>
      <c r="AE14" t="s">
        <v>153</v>
      </c>
      <c r="AF14">
        <v>132.119</v>
      </c>
      <c r="AG14" t="s">
        <v>69</v>
      </c>
      <c r="AH14" t="s">
        <v>69</v>
      </c>
      <c r="AI14">
        <v>450</v>
      </c>
      <c r="AJ14" t="s">
        <v>146</v>
      </c>
      <c r="AK14" t="s">
        <v>69</v>
      </c>
      <c r="AL14" t="s">
        <v>71</v>
      </c>
      <c r="AM14" t="s">
        <v>69</v>
      </c>
      <c r="AN14">
        <v>115.13200000000001</v>
      </c>
      <c r="AO14" t="s">
        <v>69</v>
      </c>
      <c r="AP14" t="s">
        <v>69</v>
      </c>
    </row>
    <row r="15" spans="1:42" x14ac:dyDescent="0.25">
      <c r="A15">
        <v>7</v>
      </c>
      <c r="B15" t="str">
        <f>HYPERLINK("http://www.ncbi.nlm.nih.gov/protein/XP_004772901.1","XP_004772901.1")</f>
        <v>XP_004772901.1</v>
      </c>
      <c r="C15">
        <v>58003</v>
      </c>
      <c r="D15" t="str">
        <f>HYPERLINK("http://www.ncbi.nlm.nih.gov/Taxonomy/Browser/wwwtax.cgi?mode=Info&amp;id=9669&amp;lvl=3&amp;lin=f&amp;keep=1&amp;srchmode=1&amp;unlock","9669")</f>
        <v>9669</v>
      </c>
      <c r="E15" t="s">
        <v>66</v>
      </c>
      <c r="F15" t="str">
        <f>HYPERLINK("http://www.ncbi.nlm.nih.gov/Taxonomy/Browser/wwwtax.cgi?mode=Info&amp;id=9669&amp;lvl=3&amp;lin=f&amp;keep=1&amp;srchmode=1&amp;unlock","Mustela putorius furo")</f>
        <v>Mustela putorius furo</v>
      </c>
      <c r="G15" t="s">
        <v>98</v>
      </c>
      <c r="H15" t="str">
        <f>HYPERLINK("http://www.ncbi.nlm.nih.gov/protein/XP_004772901.1","mitochondrial antiviral-signaling protein isoform X1")</f>
        <v>mitochondrial antiviral-signaling protein isoform X1</v>
      </c>
      <c r="I15" t="s">
        <v>263</v>
      </c>
      <c r="J15" t="s">
        <v>69</v>
      </c>
      <c r="K15">
        <v>432</v>
      </c>
      <c r="L15" t="s">
        <v>156</v>
      </c>
      <c r="M15" t="s">
        <v>69</v>
      </c>
      <c r="N15" t="s">
        <v>120</v>
      </c>
      <c r="O15" t="s">
        <v>69</v>
      </c>
      <c r="P15">
        <v>133.10400000000001</v>
      </c>
      <c r="Q15" t="s">
        <v>69</v>
      </c>
      <c r="R15" t="s">
        <v>69</v>
      </c>
      <c r="S15">
        <v>433</v>
      </c>
      <c r="T15" t="s">
        <v>72</v>
      </c>
      <c r="U15" t="s">
        <v>69</v>
      </c>
      <c r="V15" t="s">
        <v>71</v>
      </c>
      <c r="W15" t="s">
        <v>69</v>
      </c>
      <c r="X15">
        <v>131.17500000000001</v>
      </c>
      <c r="Y15" t="s">
        <v>69</v>
      </c>
      <c r="Z15" t="s">
        <v>69</v>
      </c>
      <c r="AA15">
        <v>447</v>
      </c>
      <c r="AB15" t="s">
        <v>153</v>
      </c>
      <c r="AC15" t="s">
        <v>153</v>
      </c>
      <c r="AD15" t="s">
        <v>148</v>
      </c>
      <c r="AE15" t="s">
        <v>153</v>
      </c>
      <c r="AF15">
        <v>132.119</v>
      </c>
      <c r="AG15" t="s">
        <v>69</v>
      </c>
      <c r="AH15" t="s">
        <v>69</v>
      </c>
      <c r="AI15">
        <v>449</v>
      </c>
      <c r="AJ15" t="s">
        <v>146</v>
      </c>
      <c r="AK15" t="s">
        <v>69</v>
      </c>
      <c r="AL15" t="s">
        <v>71</v>
      </c>
      <c r="AM15" t="s">
        <v>69</v>
      </c>
      <c r="AN15">
        <v>115.13200000000001</v>
      </c>
      <c r="AO15" t="s">
        <v>69</v>
      </c>
      <c r="AP15" t="s">
        <v>69</v>
      </c>
    </row>
    <row r="16" spans="1:42" x14ac:dyDescent="0.25">
      <c r="A16">
        <v>7</v>
      </c>
      <c r="B16" t="str">
        <f>HYPERLINK("http://www.ncbi.nlm.nih.gov/protein/XP_042787459.1","XP_042787459.1")</f>
        <v>XP_042787459.1</v>
      </c>
      <c r="C16">
        <v>53677</v>
      </c>
      <c r="D16" t="str">
        <f>HYPERLINK("http://www.ncbi.nlm.nih.gov/Taxonomy/Browser/wwwtax.cgi?mode=Info&amp;id=9689&amp;lvl=3&amp;lin=f&amp;keep=1&amp;srchmode=1&amp;unlock","9689")</f>
        <v>9689</v>
      </c>
      <c r="E16" t="s">
        <v>66</v>
      </c>
      <c r="F16" t="str">
        <f>HYPERLINK("http://www.ncbi.nlm.nih.gov/Taxonomy/Browser/wwwtax.cgi?mode=Info&amp;id=9689&amp;lvl=3&amp;lin=f&amp;keep=1&amp;srchmode=1&amp;unlock","Panthera leo")</f>
        <v>Panthera leo</v>
      </c>
      <c r="G16" t="s">
        <v>90</v>
      </c>
      <c r="H16" t="str">
        <f>HYPERLINK("http://www.ncbi.nlm.nih.gov/protein/XP_042787459.1","mitochondrial antiviral-signaling protein isoform X2")</f>
        <v>mitochondrial antiviral-signaling protein isoform X2</v>
      </c>
      <c r="I16" t="s">
        <v>263</v>
      </c>
      <c r="J16" t="s">
        <v>69</v>
      </c>
      <c r="K16">
        <v>433</v>
      </c>
      <c r="L16" t="s">
        <v>156</v>
      </c>
      <c r="M16" t="s">
        <v>69</v>
      </c>
      <c r="N16" t="s">
        <v>120</v>
      </c>
      <c r="O16" t="s">
        <v>69</v>
      </c>
      <c r="P16">
        <v>133.10400000000001</v>
      </c>
      <c r="Q16" t="s">
        <v>69</v>
      </c>
      <c r="R16" t="s">
        <v>69</v>
      </c>
      <c r="S16">
        <v>434</v>
      </c>
      <c r="T16" t="s">
        <v>72</v>
      </c>
      <c r="U16" t="s">
        <v>69</v>
      </c>
      <c r="V16" t="s">
        <v>71</v>
      </c>
      <c r="W16" t="s">
        <v>69</v>
      </c>
      <c r="X16">
        <v>131.17500000000001</v>
      </c>
      <c r="Y16" t="s">
        <v>69</v>
      </c>
      <c r="Z16" t="s">
        <v>69</v>
      </c>
      <c r="AA16">
        <v>448</v>
      </c>
      <c r="AB16" t="s">
        <v>153</v>
      </c>
      <c r="AC16" t="s">
        <v>153</v>
      </c>
      <c r="AD16" t="s">
        <v>148</v>
      </c>
      <c r="AE16" t="s">
        <v>153</v>
      </c>
      <c r="AF16">
        <v>132.119</v>
      </c>
      <c r="AG16" t="s">
        <v>69</v>
      </c>
      <c r="AH16" t="s">
        <v>69</v>
      </c>
      <c r="AI16">
        <v>450</v>
      </c>
      <c r="AJ16" t="s">
        <v>146</v>
      </c>
      <c r="AK16" t="s">
        <v>69</v>
      </c>
      <c r="AL16" t="s">
        <v>71</v>
      </c>
      <c r="AM16" t="s">
        <v>69</v>
      </c>
      <c r="AN16">
        <v>115.13200000000001</v>
      </c>
      <c r="AO16" t="s">
        <v>69</v>
      </c>
      <c r="AP16" t="s">
        <v>69</v>
      </c>
    </row>
    <row r="17" spans="1:42" x14ac:dyDescent="0.25">
      <c r="A17">
        <v>7</v>
      </c>
      <c r="B17" t="str">
        <f>HYPERLINK("http://www.ncbi.nlm.nih.gov/protein/XP_030165864.1","XP_030165864.1")</f>
        <v>XP_030165864.1</v>
      </c>
      <c r="C17">
        <v>42175</v>
      </c>
      <c r="D17" t="str">
        <f>HYPERLINK("http://www.ncbi.nlm.nih.gov/Taxonomy/Browser/wwwtax.cgi?mode=Info&amp;id=61383&amp;lvl=3&amp;lin=f&amp;keep=1&amp;srchmode=1&amp;unlock","61383")</f>
        <v>61383</v>
      </c>
      <c r="E17" t="s">
        <v>66</v>
      </c>
      <c r="F17" t="str">
        <f>HYPERLINK("http://www.ncbi.nlm.nih.gov/Taxonomy/Browser/wwwtax.cgi?mode=Info&amp;id=61383&amp;lvl=3&amp;lin=f&amp;keep=1&amp;srchmode=1&amp;unlock","Lynx canadensis")</f>
        <v>Lynx canadensis</v>
      </c>
      <c r="G17" t="s">
        <v>105</v>
      </c>
      <c r="H17" t="str">
        <f>HYPERLINK("http://www.ncbi.nlm.nih.gov/protein/XP_030165864.1","mitochondrial antiviral-signaling protein isoform X4")</f>
        <v>mitochondrial antiviral-signaling protein isoform X4</v>
      </c>
      <c r="I17" t="s">
        <v>263</v>
      </c>
      <c r="J17" t="s">
        <v>69</v>
      </c>
      <c r="K17">
        <v>433</v>
      </c>
      <c r="L17" t="s">
        <v>156</v>
      </c>
      <c r="M17" t="s">
        <v>69</v>
      </c>
      <c r="N17" t="s">
        <v>120</v>
      </c>
      <c r="O17" t="s">
        <v>69</v>
      </c>
      <c r="P17">
        <v>133.10400000000001</v>
      </c>
      <c r="Q17" t="s">
        <v>69</v>
      </c>
      <c r="R17" t="s">
        <v>69</v>
      </c>
      <c r="S17">
        <v>434</v>
      </c>
      <c r="T17" t="s">
        <v>72</v>
      </c>
      <c r="U17" t="s">
        <v>69</v>
      </c>
      <c r="V17" t="s">
        <v>71</v>
      </c>
      <c r="W17" t="s">
        <v>69</v>
      </c>
      <c r="X17">
        <v>131.17500000000001</v>
      </c>
      <c r="Y17" t="s">
        <v>69</v>
      </c>
      <c r="Z17" t="s">
        <v>69</v>
      </c>
      <c r="AA17">
        <v>448</v>
      </c>
      <c r="AB17" t="s">
        <v>153</v>
      </c>
      <c r="AC17" t="s">
        <v>153</v>
      </c>
      <c r="AD17" t="s">
        <v>148</v>
      </c>
      <c r="AE17" t="s">
        <v>153</v>
      </c>
      <c r="AF17">
        <v>132.119</v>
      </c>
      <c r="AG17" t="s">
        <v>69</v>
      </c>
      <c r="AH17" t="s">
        <v>69</v>
      </c>
      <c r="AI17">
        <v>450</v>
      </c>
      <c r="AJ17" t="s">
        <v>146</v>
      </c>
      <c r="AK17" t="s">
        <v>69</v>
      </c>
      <c r="AL17" t="s">
        <v>71</v>
      </c>
      <c r="AM17" t="s">
        <v>69</v>
      </c>
      <c r="AN17">
        <v>115.13200000000001</v>
      </c>
      <c r="AO17" t="s">
        <v>69</v>
      </c>
      <c r="AP17" t="s">
        <v>69</v>
      </c>
    </row>
    <row r="18" spans="1:42" x14ac:dyDescent="0.25">
      <c r="A18">
        <v>7</v>
      </c>
      <c r="B18" t="str">
        <f>HYPERLINK("http://www.ncbi.nlm.nih.gov/protein/XP_003983730.1","XP_003983730.1")</f>
        <v>XP_003983730.1</v>
      </c>
      <c r="C18">
        <v>74287</v>
      </c>
      <c r="D18" t="str">
        <f>HYPERLINK("http://www.ncbi.nlm.nih.gov/Taxonomy/Browser/wwwtax.cgi?mode=Info&amp;id=9685&amp;lvl=3&amp;lin=f&amp;keep=1&amp;srchmode=1&amp;unlock","9685")</f>
        <v>9685</v>
      </c>
      <c r="E18" t="s">
        <v>66</v>
      </c>
      <c r="F18" t="str">
        <f>HYPERLINK("http://www.ncbi.nlm.nih.gov/Taxonomy/Browser/wwwtax.cgi?mode=Info&amp;id=9685&amp;lvl=3&amp;lin=f&amp;keep=1&amp;srchmode=1&amp;unlock","Felis catus")</f>
        <v>Felis catus</v>
      </c>
      <c r="G18" t="s">
        <v>86</v>
      </c>
      <c r="H18" t="str">
        <f>HYPERLINK("http://www.ncbi.nlm.nih.gov/protein/XP_003983730.1","mitochondrial antiviral-signaling protein isoform X1")</f>
        <v>mitochondrial antiviral-signaling protein isoform X1</v>
      </c>
      <c r="I18" t="s">
        <v>263</v>
      </c>
      <c r="J18" t="s">
        <v>69</v>
      </c>
      <c r="K18">
        <v>433</v>
      </c>
      <c r="L18" t="s">
        <v>156</v>
      </c>
      <c r="M18" t="s">
        <v>69</v>
      </c>
      <c r="N18" t="s">
        <v>120</v>
      </c>
      <c r="O18" t="s">
        <v>69</v>
      </c>
      <c r="P18">
        <v>133.10400000000001</v>
      </c>
      <c r="Q18" t="s">
        <v>69</v>
      </c>
      <c r="R18" t="s">
        <v>69</v>
      </c>
      <c r="S18">
        <v>434</v>
      </c>
      <c r="T18" t="s">
        <v>72</v>
      </c>
      <c r="U18" t="s">
        <v>69</v>
      </c>
      <c r="V18" t="s">
        <v>71</v>
      </c>
      <c r="W18" t="s">
        <v>69</v>
      </c>
      <c r="X18">
        <v>131.17500000000001</v>
      </c>
      <c r="Y18" t="s">
        <v>69</v>
      </c>
      <c r="Z18" t="s">
        <v>69</v>
      </c>
      <c r="AA18">
        <v>448</v>
      </c>
      <c r="AB18" t="s">
        <v>153</v>
      </c>
      <c r="AC18" t="s">
        <v>153</v>
      </c>
      <c r="AD18" t="s">
        <v>148</v>
      </c>
      <c r="AE18" t="s">
        <v>153</v>
      </c>
      <c r="AF18">
        <v>132.119</v>
      </c>
      <c r="AG18" t="s">
        <v>69</v>
      </c>
      <c r="AH18" t="s">
        <v>69</v>
      </c>
      <c r="AI18">
        <v>450</v>
      </c>
      <c r="AJ18" t="s">
        <v>146</v>
      </c>
      <c r="AK18" t="s">
        <v>69</v>
      </c>
      <c r="AL18" t="s">
        <v>71</v>
      </c>
      <c r="AM18" t="s">
        <v>69</v>
      </c>
      <c r="AN18">
        <v>115.13200000000001</v>
      </c>
      <c r="AO18" t="s">
        <v>69</v>
      </c>
      <c r="AP18" t="s">
        <v>69</v>
      </c>
    </row>
    <row r="19" spans="1:42" x14ac:dyDescent="0.25">
      <c r="A19">
        <v>7</v>
      </c>
      <c r="B19" t="str">
        <f>HYPERLINK("http://www.ncbi.nlm.nih.gov/protein/XP_047708473.1","XP_047708473.1")</f>
        <v>XP_047708473.1</v>
      </c>
      <c r="C19">
        <v>56399</v>
      </c>
      <c r="D19" t="str">
        <f>HYPERLINK("http://www.ncbi.nlm.nih.gov/Taxonomy/Browser/wwwtax.cgi?mode=Info&amp;id=61388&amp;lvl=3&amp;lin=f&amp;keep=1&amp;srchmode=1&amp;unlock","61388")</f>
        <v>61388</v>
      </c>
      <c r="E19" t="s">
        <v>66</v>
      </c>
      <c r="F19" t="str">
        <f>HYPERLINK("http://www.ncbi.nlm.nih.gov/Taxonomy/Browser/wwwtax.cgi?mode=Info&amp;id=61388&amp;lvl=3&amp;lin=f&amp;keep=1&amp;srchmode=1&amp;unlock","Prionailurus viverrinus")</f>
        <v>Prionailurus viverrinus</v>
      </c>
      <c r="G19" t="s">
        <v>94</v>
      </c>
      <c r="H19" t="str">
        <f>HYPERLINK("http://www.ncbi.nlm.nih.gov/protein/XP_047708473.1","mitochondrial antiviral-signaling protein-like isoform X3")</f>
        <v>mitochondrial antiviral-signaling protein-like isoform X3</v>
      </c>
      <c r="I19" t="s">
        <v>263</v>
      </c>
      <c r="J19" t="s">
        <v>69</v>
      </c>
      <c r="K19">
        <v>433</v>
      </c>
      <c r="L19" t="s">
        <v>156</v>
      </c>
      <c r="M19" t="s">
        <v>69</v>
      </c>
      <c r="N19" t="s">
        <v>120</v>
      </c>
      <c r="O19" t="s">
        <v>69</v>
      </c>
      <c r="P19">
        <v>133.10400000000001</v>
      </c>
      <c r="Q19" t="s">
        <v>69</v>
      </c>
      <c r="R19" t="s">
        <v>69</v>
      </c>
      <c r="S19">
        <v>434</v>
      </c>
      <c r="T19" t="s">
        <v>72</v>
      </c>
      <c r="U19" t="s">
        <v>69</v>
      </c>
      <c r="V19" t="s">
        <v>71</v>
      </c>
      <c r="W19" t="s">
        <v>69</v>
      </c>
      <c r="X19">
        <v>131.17500000000001</v>
      </c>
      <c r="Y19" t="s">
        <v>69</v>
      </c>
      <c r="Z19" t="s">
        <v>69</v>
      </c>
      <c r="AA19">
        <v>448</v>
      </c>
      <c r="AB19" t="s">
        <v>153</v>
      </c>
      <c r="AC19" t="s">
        <v>153</v>
      </c>
      <c r="AD19" t="s">
        <v>148</v>
      </c>
      <c r="AE19" t="s">
        <v>153</v>
      </c>
      <c r="AF19">
        <v>132.119</v>
      </c>
      <c r="AG19" t="s">
        <v>69</v>
      </c>
      <c r="AH19" t="s">
        <v>69</v>
      </c>
      <c r="AI19">
        <v>450</v>
      </c>
      <c r="AJ19" t="s">
        <v>146</v>
      </c>
      <c r="AK19" t="s">
        <v>69</v>
      </c>
      <c r="AL19" t="s">
        <v>71</v>
      </c>
      <c r="AM19" t="s">
        <v>69</v>
      </c>
      <c r="AN19">
        <v>115.13200000000001</v>
      </c>
      <c r="AO19" t="s">
        <v>69</v>
      </c>
      <c r="AP19" t="s">
        <v>69</v>
      </c>
    </row>
    <row r="20" spans="1:42" x14ac:dyDescent="0.25">
      <c r="A20">
        <v>7</v>
      </c>
      <c r="B20" t="str">
        <f>HYPERLINK("http://www.ncbi.nlm.nih.gov/protein/XP_046924356.1","XP_046924356.1")</f>
        <v>XP_046924356.1</v>
      </c>
      <c r="C20">
        <v>38764</v>
      </c>
      <c r="D20" t="str">
        <f>HYPERLINK("http://www.ncbi.nlm.nih.gov/Taxonomy/Browser/wwwtax.cgi?mode=Info&amp;id=61384&amp;lvl=3&amp;lin=f&amp;keep=1&amp;srchmode=1&amp;unlock","61384")</f>
        <v>61384</v>
      </c>
      <c r="E20" t="s">
        <v>66</v>
      </c>
      <c r="F20" t="str">
        <f>HYPERLINK("http://www.ncbi.nlm.nih.gov/Taxonomy/Browser/wwwtax.cgi?mode=Info&amp;id=61384&amp;lvl=3&amp;lin=f&amp;keep=1&amp;srchmode=1&amp;unlock","Lynx rufus")</f>
        <v>Lynx rufus</v>
      </c>
      <c r="G20" t="s">
        <v>93</v>
      </c>
      <c r="H20" t="str">
        <f>HYPERLINK("http://www.ncbi.nlm.nih.gov/protein/XP_046924356.1","mitochondrial antiviral-signaling protein-like")</f>
        <v>mitochondrial antiviral-signaling protein-like</v>
      </c>
      <c r="I20" t="s">
        <v>263</v>
      </c>
      <c r="J20" t="s">
        <v>69</v>
      </c>
      <c r="K20">
        <v>433</v>
      </c>
      <c r="L20" t="s">
        <v>156</v>
      </c>
      <c r="M20" t="s">
        <v>69</v>
      </c>
      <c r="N20" t="s">
        <v>120</v>
      </c>
      <c r="O20" t="s">
        <v>69</v>
      </c>
      <c r="P20">
        <v>133.10400000000001</v>
      </c>
      <c r="Q20" t="s">
        <v>69</v>
      </c>
      <c r="R20" t="s">
        <v>69</v>
      </c>
      <c r="S20">
        <v>434</v>
      </c>
      <c r="T20" t="s">
        <v>72</v>
      </c>
      <c r="U20" t="s">
        <v>69</v>
      </c>
      <c r="V20" t="s">
        <v>71</v>
      </c>
      <c r="W20" t="s">
        <v>69</v>
      </c>
      <c r="X20">
        <v>131.17500000000001</v>
      </c>
      <c r="Y20" t="s">
        <v>69</v>
      </c>
      <c r="Z20" t="s">
        <v>69</v>
      </c>
      <c r="AA20">
        <v>448</v>
      </c>
      <c r="AB20" t="s">
        <v>153</v>
      </c>
      <c r="AC20" t="s">
        <v>153</v>
      </c>
      <c r="AD20" t="s">
        <v>148</v>
      </c>
      <c r="AE20" t="s">
        <v>153</v>
      </c>
      <c r="AF20">
        <v>132.119</v>
      </c>
      <c r="AG20" t="s">
        <v>69</v>
      </c>
      <c r="AH20" t="s">
        <v>69</v>
      </c>
      <c r="AI20">
        <v>450</v>
      </c>
      <c r="AJ20" t="s">
        <v>146</v>
      </c>
      <c r="AK20" t="s">
        <v>69</v>
      </c>
      <c r="AL20" t="s">
        <v>71</v>
      </c>
      <c r="AM20" t="s">
        <v>69</v>
      </c>
      <c r="AN20">
        <v>115.13200000000001</v>
      </c>
      <c r="AO20" t="s">
        <v>69</v>
      </c>
      <c r="AP20" t="s">
        <v>69</v>
      </c>
    </row>
    <row r="21" spans="1:42" x14ac:dyDescent="0.25">
      <c r="A21">
        <v>7</v>
      </c>
      <c r="B21" t="str">
        <f>HYPERLINK("http://www.ncbi.nlm.nih.gov/protein/XP_025788115.1","XP_025788115.1")</f>
        <v>XP_025788115.1</v>
      </c>
      <c r="C21">
        <v>23623</v>
      </c>
      <c r="D21" t="str">
        <f>HYPERLINK("http://www.ncbi.nlm.nih.gov/Taxonomy/Browser/wwwtax.cgi?mode=Info&amp;id=9696&amp;lvl=3&amp;lin=f&amp;keep=1&amp;srchmode=1&amp;unlock","9696")</f>
        <v>9696</v>
      </c>
      <c r="E21" t="s">
        <v>66</v>
      </c>
      <c r="F21" t="str">
        <f>HYPERLINK("http://www.ncbi.nlm.nih.gov/Taxonomy/Browser/wwwtax.cgi?mode=Info&amp;id=9696&amp;lvl=3&amp;lin=f&amp;keep=1&amp;srchmode=1&amp;unlock","Puma concolor")</f>
        <v>Puma concolor</v>
      </c>
      <c r="G21" t="s">
        <v>91</v>
      </c>
      <c r="H21" t="str">
        <f>HYPERLINK("http://www.ncbi.nlm.nih.gov/protein/XP_025788115.1","mitochondrial antiviral-signaling protein isoform X1")</f>
        <v>mitochondrial antiviral-signaling protein isoform X1</v>
      </c>
      <c r="I21" t="s">
        <v>263</v>
      </c>
      <c r="J21" t="s">
        <v>69</v>
      </c>
      <c r="K21">
        <v>433</v>
      </c>
      <c r="L21" t="s">
        <v>156</v>
      </c>
      <c r="M21" t="s">
        <v>69</v>
      </c>
      <c r="N21" t="s">
        <v>120</v>
      </c>
      <c r="O21" t="s">
        <v>69</v>
      </c>
      <c r="P21">
        <v>133.10400000000001</v>
      </c>
      <c r="Q21" t="s">
        <v>69</v>
      </c>
      <c r="R21" t="s">
        <v>69</v>
      </c>
      <c r="S21">
        <v>434</v>
      </c>
      <c r="T21" t="s">
        <v>72</v>
      </c>
      <c r="U21" t="s">
        <v>69</v>
      </c>
      <c r="V21" t="s">
        <v>71</v>
      </c>
      <c r="W21" t="s">
        <v>69</v>
      </c>
      <c r="X21">
        <v>131.17500000000001</v>
      </c>
      <c r="Y21" t="s">
        <v>69</v>
      </c>
      <c r="Z21" t="s">
        <v>69</v>
      </c>
      <c r="AA21">
        <v>448</v>
      </c>
      <c r="AB21" t="s">
        <v>153</v>
      </c>
      <c r="AC21" t="s">
        <v>153</v>
      </c>
      <c r="AD21" t="s">
        <v>148</v>
      </c>
      <c r="AE21" t="s">
        <v>153</v>
      </c>
      <c r="AF21">
        <v>132.119</v>
      </c>
      <c r="AG21" t="s">
        <v>69</v>
      </c>
      <c r="AH21" t="s">
        <v>69</v>
      </c>
      <c r="AI21">
        <v>450</v>
      </c>
      <c r="AJ21" t="s">
        <v>146</v>
      </c>
      <c r="AK21" t="s">
        <v>69</v>
      </c>
      <c r="AL21" t="s">
        <v>71</v>
      </c>
      <c r="AM21" t="s">
        <v>69</v>
      </c>
      <c r="AN21">
        <v>115.13200000000001</v>
      </c>
      <c r="AO21" t="s">
        <v>69</v>
      </c>
      <c r="AP21" t="s">
        <v>69</v>
      </c>
    </row>
    <row r="22" spans="1:42" x14ac:dyDescent="0.25">
      <c r="A22">
        <v>7</v>
      </c>
      <c r="B22" t="str">
        <f>HYPERLINK("http://www.ncbi.nlm.nih.gov/protein/NP_001116081.1","NP_001116081.1")</f>
        <v>NP_001116081.1</v>
      </c>
      <c r="C22">
        <v>136357</v>
      </c>
      <c r="D22" t="str">
        <f>HYPERLINK("http://www.ncbi.nlm.nih.gov/Taxonomy/Browser/wwwtax.cgi?mode=Info&amp;id=9615&amp;lvl=3&amp;lin=f&amp;keep=1&amp;srchmode=1&amp;unlock","9615")</f>
        <v>9615</v>
      </c>
      <c r="E22" t="s">
        <v>66</v>
      </c>
      <c r="F22" t="str">
        <f>HYPERLINK("http://www.ncbi.nlm.nih.gov/Taxonomy/Browser/wwwtax.cgi?mode=Info&amp;id=9615&amp;lvl=3&amp;lin=f&amp;keep=1&amp;srchmode=1&amp;unlock","Canis lupus familiaris")</f>
        <v>Canis lupus familiaris</v>
      </c>
      <c r="G22" t="s">
        <v>84</v>
      </c>
      <c r="H22" t="str">
        <f>HYPERLINK("http://www.ncbi.nlm.nih.gov/protein/NP_001116081.1","mitochondrial antiviral-signaling protein")</f>
        <v>mitochondrial antiviral-signaling protein</v>
      </c>
      <c r="I22" t="s">
        <v>263</v>
      </c>
      <c r="J22" t="s">
        <v>69</v>
      </c>
      <c r="K22">
        <v>428</v>
      </c>
      <c r="L22" t="s">
        <v>156</v>
      </c>
      <c r="M22" t="s">
        <v>69</v>
      </c>
      <c r="N22" t="s">
        <v>120</v>
      </c>
      <c r="O22" t="s">
        <v>69</v>
      </c>
      <c r="P22">
        <v>133.10400000000001</v>
      </c>
      <c r="Q22" t="s">
        <v>69</v>
      </c>
      <c r="R22" t="s">
        <v>69</v>
      </c>
      <c r="S22">
        <v>429</v>
      </c>
      <c r="T22" t="s">
        <v>72</v>
      </c>
      <c r="U22" t="s">
        <v>69</v>
      </c>
      <c r="V22" t="s">
        <v>71</v>
      </c>
      <c r="W22" t="s">
        <v>69</v>
      </c>
      <c r="X22">
        <v>131.17500000000001</v>
      </c>
      <c r="Y22" t="s">
        <v>69</v>
      </c>
      <c r="Z22" t="s">
        <v>69</v>
      </c>
      <c r="AA22">
        <v>443</v>
      </c>
      <c r="AB22" t="s">
        <v>153</v>
      </c>
      <c r="AC22" t="s">
        <v>153</v>
      </c>
      <c r="AD22" t="s">
        <v>148</v>
      </c>
      <c r="AE22" t="s">
        <v>153</v>
      </c>
      <c r="AF22">
        <v>132.119</v>
      </c>
      <c r="AG22" t="s">
        <v>69</v>
      </c>
      <c r="AH22" t="s">
        <v>69</v>
      </c>
      <c r="AI22">
        <v>445</v>
      </c>
      <c r="AJ22" t="s">
        <v>146</v>
      </c>
      <c r="AK22" t="s">
        <v>69</v>
      </c>
      <c r="AL22" t="s">
        <v>71</v>
      </c>
      <c r="AM22" t="s">
        <v>69</v>
      </c>
      <c r="AN22">
        <v>115.13200000000001</v>
      </c>
      <c r="AO22" t="s">
        <v>69</v>
      </c>
      <c r="AP22" t="s">
        <v>69</v>
      </c>
    </row>
    <row r="23" spans="1:42" x14ac:dyDescent="0.25">
      <c r="A23">
        <v>7</v>
      </c>
      <c r="B23" t="str">
        <f>HYPERLINK("http://www.ncbi.nlm.nih.gov/protein/XP_045837014.1","XP_045837014.1")</f>
        <v>XP_045837014.1</v>
      </c>
      <c r="C23">
        <v>50752</v>
      </c>
      <c r="D23" t="str">
        <f>HYPERLINK("http://www.ncbi.nlm.nih.gov/Taxonomy/Browser/wwwtax.cgi?mode=Info&amp;id=9662&amp;lvl=3&amp;lin=f&amp;keep=1&amp;srchmode=1&amp;unlock","9662")</f>
        <v>9662</v>
      </c>
      <c r="E23" t="s">
        <v>66</v>
      </c>
      <c r="F23" t="str">
        <f>HYPERLINK("http://www.ncbi.nlm.nih.gov/Taxonomy/Browser/wwwtax.cgi?mode=Info&amp;id=9662&amp;lvl=3&amp;lin=f&amp;keep=1&amp;srchmode=1&amp;unlock","Meles meles")</f>
        <v>Meles meles</v>
      </c>
      <c r="G23" t="s">
        <v>99</v>
      </c>
      <c r="H23" t="str">
        <f>HYPERLINK("http://www.ncbi.nlm.nih.gov/protein/XP_045837014.1","mitochondrial antiviral-signaling protein isoform X3")</f>
        <v>mitochondrial antiviral-signaling protein isoform X3</v>
      </c>
      <c r="I23" t="s">
        <v>263</v>
      </c>
      <c r="J23" t="s">
        <v>69</v>
      </c>
      <c r="K23">
        <v>432</v>
      </c>
      <c r="L23" t="s">
        <v>156</v>
      </c>
      <c r="M23" t="s">
        <v>69</v>
      </c>
      <c r="N23" t="s">
        <v>120</v>
      </c>
      <c r="O23" t="s">
        <v>69</v>
      </c>
      <c r="P23">
        <v>133.10400000000001</v>
      </c>
      <c r="Q23" t="s">
        <v>69</v>
      </c>
      <c r="R23" t="s">
        <v>69</v>
      </c>
      <c r="S23">
        <v>433</v>
      </c>
      <c r="T23" t="s">
        <v>72</v>
      </c>
      <c r="U23" t="s">
        <v>69</v>
      </c>
      <c r="V23" t="s">
        <v>71</v>
      </c>
      <c r="W23" t="s">
        <v>69</v>
      </c>
      <c r="X23">
        <v>131.17500000000001</v>
      </c>
      <c r="Y23" t="s">
        <v>69</v>
      </c>
      <c r="Z23" t="s">
        <v>69</v>
      </c>
      <c r="AA23">
        <v>447</v>
      </c>
      <c r="AB23" t="s">
        <v>153</v>
      </c>
      <c r="AC23" t="s">
        <v>153</v>
      </c>
      <c r="AD23" t="s">
        <v>148</v>
      </c>
      <c r="AE23" t="s">
        <v>153</v>
      </c>
      <c r="AF23">
        <v>132.119</v>
      </c>
      <c r="AG23" t="s">
        <v>69</v>
      </c>
      <c r="AH23" t="s">
        <v>69</v>
      </c>
      <c r="AI23">
        <v>449</v>
      </c>
      <c r="AJ23" t="s">
        <v>146</v>
      </c>
      <c r="AK23" t="s">
        <v>69</v>
      </c>
      <c r="AL23" t="s">
        <v>71</v>
      </c>
      <c r="AM23" t="s">
        <v>69</v>
      </c>
      <c r="AN23">
        <v>115.13200000000001</v>
      </c>
      <c r="AO23" t="s">
        <v>69</v>
      </c>
      <c r="AP23" t="s">
        <v>69</v>
      </c>
    </row>
    <row r="24" spans="1:42" x14ac:dyDescent="0.25">
      <c r="A24">
        <v>7</v>
      </c>
      <c r="B24" t="str">
        <f>HYPERLINK("http://www.ncbi.nlm.nih.gov/protein/XP_017510479.2","XP_017510479.2")</f>
        <v>XP_017510479.2</v>
      </c>
      <c r="C24">
        <v>56064</v>
      </c>
      <c r="D24" t="str">
        <f>HYPERLINK("http://www.ncbi.nlm.nih.gov/Taxonomy/Browser/wwwtax.cgi?mode=Info&amp;id=9974&amp;lvl=3&amp;lin=f&amp;keep=1&amp;srchmode=1&amp;unlock","9974")</f>
        <v>9974</v>
      </c>
      <c r="E24" t="s">
        <v>66</v>
      </c>
      <c r="F24" t="str">
        <f>HYPERLINK("http://www.ncbi.nlm.nih.gov/Taxonomy/Browser/wwwtax.cgi?mode=Info&amp;id=9974&amp;lvl=3&amp;lin=f&amp;keep=1&amp;srchmode=1&amp;unlock","Manis javanica")</f>
        <v>Manis javanica</v>
      </c>
      <c r="G24" t="s">
        <v>100</v>
      </c>
      <c r="H24" t="str">
        <f>HYPERLINK("http://www.ncbi.nlm.nih.gov/protein/XP_017510479.2","mitochondrial antiviral-signaling protein isoform X2")</f>
        <v>mitochondrial antiviral-signaling protein isoform X2</v>
      </c>
      <c r="I24" t="s">
        <v>263</v>
      </c>
      <c r="J24" t="s">
        <v>153</v>
      </c>
      <c r="K24">
        <v>462</v>
      </c>
      <c r="L24" t="s">
        <v>156</v>
      </c>
      <c r="M24" t="s">
        <v>69</v>
      </c>
      <c r="N24" t="s">
        <v>120</v>
      </c>
      <c r="O24" t="s">
        <v>69</v>
      </c>
      <c r="P24">
        <v>133.10400000000001</v>
      </c>
      <c r="Q24" t="s">
        <v>69</v>
      </c>
      <c r="R24" t="s">
        <v>69</v>
      </c>
      <c r="S24">
        <v>463</v>
      </c>
      <c r="T24" t="s">
        <v>72</v>
      </c>
      <c r="U24" t="s">
        <v>69</v>
      </c>
      <c r="V24" t="s">
        <v>71</v>
      </c>
      <c r="W24" t="s">
        <v>69</v>
      </c>
      <c r="X24">
        <v>131.17500000000001</v>
      </c>
      <c r="Y24" t="s">
        <v>69</v>
      </c>
      <c r="Z24" t="s">
        <v>69</v>
      </c>
      <c r="AA24">
        <v>476</v>
      </c>
      <c r="AB24" t="s">
        <v>153</v>
      </c>
      <c r="AC24" t="s">
        <v>153</v>
      </c>
      <c r="AD24" t="s">
        <v>148</v>
      </c>
      <c r="AE24" t="s">
        <v>153</v>
      </c>
      <c r="AF24">
        <v>132.119</v>
      </c>
      <c r="AG24" t="s">
        <v>69</v>
      </c>
      <c r="AH24" t="s">
        <v>69</v>
      </c>
      <c r="AI24" t="s">
        <v>159</v>
      </c>
      <c r="AJ24" t="s">
        <v>159</v>
      </c>
      <c r="AK24" t="s">
        <v>153</v>
      </c>
      <c r="AL24" t="s">
        <v>159</v>
      </c>
      <c r="AM24" t="s">
        <v>153</v>
      </c>
      <c r="AN24" t="s">
        <v>159</v>
      </c>
      <c r="AO24" t="s">
        <v>153</v>
      </c>
      <c r="AP24" t="s">
        <v>153</v>
      </c>
    </row>
    <row r="25" spans="1:42" x14ac:dyDescent="0.25">
      <c r="A25">
        <v>7</v>
      </c>
      <c r="B25" t="str">
        <f>HYPERLINK("http://www.ncbi.nlm.nih.gov/protein/XP_020732716.1","XP_020732716.1")</f>
        <v>XP_020732716.1</v>
      </c>
      <c r="C25">
        <v>48218</v>
      </c>
      <c r="D25" t="str">
        <f>HYPERLINK("http://www.ncbi.nlm.nih.gov/Taxonomy/Browser/wwwtax.cgi?mode=Info&amp;id=9880&amp;lvl=3&amp;lin=f&amp;keep=1&amp;srchmode=1&amp;unlock","9880")</f>
        <v>9880</v>
      </c>
      <c r="E25" t="s">
        <v>66</v>
      </c>
      <c r="F25" t="str">
        <f>HYPERLINK("http://www.ncbi.nlm.nih.gov/Taxonomy/Browser/wwwtax.cgi?mode=Info&amp;id=9880&amp;lvl=3&amp;lin=f&amp;keep=1&amp;srchmode=1&amp;unlock","Odocoileus virginianus texanus")</f>
        <v>Odocoileus virginianus texanus</v>
      </c>
      <c r="G25" t="s">
        <v>81</v>
      </c>
      <c r="H25" t="str">
        <f>HYPERLINK("http://www.ncbi.nlm.nih.gov/protein/XP_020732716.1","mitochondrial antiviral-signaling protein isoform X2")</f>
        <v>mitochondrial antiviral-signaling protein isoform X2</v>
      </c>
      <c r="I25" t="s">
        <v>263</v>
      </c>
      <c r="J25" t="s">
        <v>69</v>
      </c>
      <c r="K25">
        <v>416</v>
      </c>
      <c r="L25" t="s">
        <v>156</v>
      </c>
      <c r="M25" t="s">
        <v>69</v>
      </c>
      <c r="N25" t="s">
        <v>120</v>
      </c>
      <c r="O25" t="s">
        <v>69</v>
      </c>
      <c r="P25">
        <v>133.10400000000001</v>
      </c>
      <c r="Q25" t="s">
        <v>69</v>
      </c>
      <c r="R25" t="s">
        <v>69</v>
      </c>
      <c r="S25">
        <v>417</v>
      </c>
      <c r="T25" t="s">
        <v>72</v>
      </c>
      <c r="U25" t="s">
        <v>69</v>
      </c>
      <c r="V25" t="s">
        <v>71</v>
      </c>
      <c r="W25" t="s">
        <v>69</v>
      </c>
      <c r="X25">
        <v>131.17500000000001</v>
      </c>
      <c r="Y25" t="s">
        <v>69</v>
      </c>
      <c r="Z25" t="s">
        <v>69</v>
      </c>
      <c r="AA25">
        <v>431</v>
      </c>
      <c r="AB25" t="s">
        <v>153</v>
      </c>
      <c r="AC25" t="s">
        <v>153</v>
      </c>
      <c r="AD25" t="s">
        <v>148</v>
      </c>
      <c r="AE25" t="s">
        <v>153</v>
      </c>
      <c r="AF25">
        <v>132.119</v>
      </c>
      <c r="AG25" t="s">
        <v>69</v>
      </c>
      <c r="AH25" t="s">
        <v>69</v>
      </c>
      <c r="AI25">
        <v>433</v>
      </c>
      <c r="AJ25" t="s">
        <v>146</v>
      </c>
      <c r="AK25" t="s">
        <v>69</v>
      </c>
      <c r="AL25" t="s">
        <v>71</v>
      </c>
      <c r="AM25" t="s">
        <v>69</v>
      </c>
      <c r="AN25">
        <v>115.13200000000001</v>
      </c>
      <c r="AO25" t="s">
        <v>69</v>
      </c>
      <c r="AP25" t="s">
        <v>69</v>
      </c>
    </row>
    <row r="26" spans="1:42" x14ac:dyDescent="0.25">
      <c r="A26">
        <v>7</v>
      </c>
      <c r="B26" t="str">
        <f>HYPERLINK("http://www.ncbi.nlm.nih.gov/protein/CAD7669621.1","CAD7669621.1")</f>
        <v>CAD7669621.1</v>
      </c>
      <c r="C26">
        <v>27271</v>
      </c>
      <c r="D26" t="str">
        <f>HYPERLINK("http://www.ncbi.nlm.nih.gov/Taxonomy/Browser/wwwtax.cgi?mode=Info&amp;id=34880&amp;lvl=3&amp;lin=f&amp;keep=1&amp;srchmode=1&amp;unlock","34880")</f>
        <v>34880</v>
      </c>
      <c r="E26" t="s">
        <v>66</v>
      </c>
      <c r="F26" t="str">
        <f>HYPERLINK("http://www.ncbi.nlm.nih.gov/Taxonomy/Browser/wwwtax.cgi?mode=Info&amp;id=34880&amp;lvl=3&amp;lin=f&amp;keep=1&amp;srchmode=1&amp;unlock","Nyctereutes procyonoides")</f>
        <v>Nyctereutes procyonoides</v>
      </c>
      <c r="G26" t="s">
        <v>92</v>
      </c>
      <c r="H26" t="str">
        <f>HYPERLINK("http://www.ncbi.nlm.nih.gov/protein/CAD7669621.1","unnamed protein product")</f>
        <v>unnamed protein product</v>
      </c>
      <c r="I26" t="s">
        <v>263</v>
      </c>
      <c r="J26" t="s">
        <v>69</v>
      </c>
      <c r="K26">
        <v>448</v>
      </c>
      <c r="L26" t="s">
        <v>156</v>
      </c>
      <c r="M26" t="s">
        <v>69</v>
      </c>
      <c r="N26" t="s">
        <v>120</v>
      </c>
      <c r="O26" t="s">
        <v>69</v>
      </c>
      <c r="P26">
        <v>133.10400000000001</v>
      </c>
      <c r="Q26" t="s">
        <v>69</v>
      </c>
      <c r="R26" t="s">
        <v>69</v>
      </c>
      <c r="S26">
        <v>449</v>
      </c>
      <c r="T26" t="s">
        <v>72</v>
      </c>
      <c r="U26" t="s">
        <v>69</v>
      </c>
      <c r="V26" t="s">
        <v>71</v>
      </c>
      <c r="W26" t="s">
        <v>69</v>
      </c>
      <c r="X26">
        <v>131.17500000000001</v>
      </c>
      <c r="Y26" t="s">
        <v>69</v>
      </c>
      <c r="Z26" t="s">
        <v>69</v>
      </c>
      <c r="AA26">
        <v>463</v>
      </c>
      <c r="AB26" t="s">
        <v>153</v>
      </c>
      <c r="AC26" t="s">
        <v>153</v>
      </c>
      <c r="AD26" t="s">
        <v>148</v>
      </c>
      <c r="AE26" t="s">
        <v>153</v>
      </c>
      <c r="AF26">
        <v>132.119</v>
      </c>
      <c r="AG26" t="s">
        <v>69</v>
      </c>
      <c r="AH26" t="s">
        <v>69</v>
      </c>
      <c r="AI26">
        <v>465</v>
      </c>
      <c r="AJ26" t="s">
        <v>146</v>
      </c>
      <c r="AK26" t="s">
        <v>69</v>
      </c>
      <c r="AL26" t="s">
        <v>71</v>
      </c>
      <c r="AM26" t="s">
        <v>69</v>
      </c>
      <c r="AN26">
        <v>115.13200000000001</v>
      </c>
      <c r="AO26" t="s">
        <v>69</v>
      </c>
      <c r="AP26" t="s">
        <v>69</v>
      </c>
    </row>
    <row r="27" spans="1:42" x14ac:dyDescent="0.25">
      <c r="A27">
        <v>7</v>
      </c>
      <c r="B27" t="str">
        <f>HYPERLINK("http://www.ncbi.nlm.nih.gov/protein/XP_025868126.1","XP_025868126.1")</f>
        <v>XP_025868126.1</v>
      </c>
      <c r="C27">
        <v>38435</v>
      </c>
      <c r="D27" t="str">
        <f>HYPERLINK("http://www.ncbi.nlm.nih.gov/Taxonomy/Browser/wwwtax.cgi?mode=Info&amp;id=9627&amp;lvl=3&amp;lin=f&amp;keep=1&amp;srchmode=1&amp;unlock","9627")</f>
        <v>9627</v>
      </c>
      <c r="E27" t="s">
        <v>66</v>
      </c>
      <c r="F27" t="str">
        <f>HYPERLINK("http://www.ncbi.nlm.nih.gov/Taxonomy/Browser/wwwtax.cgi?mode=Info&amp;id=9627&amp;lvl=3&amp;lin=f&amp;keep=1&amp;srchmode=1&amp;unlock","Vulpes vulpes")</f>
        <v>Vulpes vulpes</v>
      </c>
      <c r="G27" t="s">
        <v>95</v>
      </c>
      <c r="H27" t="str">
        <f>HYPERLINK("http://www.ncbi.nlm.nih.gov/protein/XP_025868126.1","mitochondrial antiviral-signaling protein")</f>
        <v>mitochondrial antiviral-signaling protein</v>
      </c>
      <c r="I27" t="s">
        <v>263</v>
      </c>
      <c r="J27" t="s">
        <v>69</v>
      </c>
      <c r="K27">
        <v>428</v>
      </c>
      <c r="L27" t="s">
        <v>156</v>
      </c>
      <c r="M27" t="s">
        <v>69</v>
      </c>
      <c r="N27" t="s">
        <v>120</v>
      </c>
      <c r="O27" t="s">
        <v>69</v>
      </c>
      <c r="P27">
        <v>133.10400000000001</v>
      </c>
      <c r="Q27" t="s">
        <v>69</v>
      </c>
      <c r="R27" t="s">
        <v>69</v>
      </c>
      <c r="S27">
        <v>429</v>
      </c>
      <c r="T27" t="s">
        <v>72</v>
      </c>
      <c r="U27" t="s">
        <v>69</v>
      </c>
      <c r="V27" t="s">
        <v>71</v>
      </c>
      <c r="W27" t="s">
        <v>69</v>
      </c>
      <c r="X27">
        <v>131.17500000000001</v>
      </c>
      <c r="Y27" t="s">
        <v>69</v>
      </c>
      <c r="Z27" t="s">
        <v>69</v>
      </c>
      <c r="AA27">
        <v>443</v>
      </c>
      <c r="AB27" t="s">
        <v>153</v>
      </c>
      <c r="AC27" t="s">
        <v>153</v>
      </c>
      <c r="AD27" t="s">
        <v>148</v>
      </c>
      <c r="AE27" t="s">
        <v>153</v>
      </c>
      <c r="AF27">
        <v>132.119</v>
      </c>
      <c r="AG27" t="s">
        <v>69</v>
      </c>
      <c r="AH27" t="s">
        <v>69</v>
      </c>
      <c r="AI27">
        <v>445</v>
      </c>
      <c r="AJ27" t="s">
        <v>146</v>
      </c>
      <c r="AK27" t="s">
        <v>69</v>
      </c>
      <c r="AL27" t="s">
        <v>71</v>
      </c>
      <c r="AM27" t="s">
        <v>69</v>
      </c>
      <c r="AN27">
        <v>115.13200000000001</v>
      </c>
      <c r="AO27" t="s">
        <v>69</v>
      </c>
      <c r="AP27" t="s">
        <v>69</v>
      </c>
    </row>
    <row r="28" spans="1:42" x14ac:dyDescent="0.25">
      <c r="A28">
        <v>7</v>
      </c>
      <c r="B28" t="str">
        <f>HYPERLINK("http://www.ncbi.nlm.nih.gov/protein/XP_015991597.2","XP_015991597.2")</f>
        <v>XP_015991597.2</v>
      </c>
      <c r="C28">
        <v>117142</v>
      </c>
      <c r="D28" t="str">
        <f>HYPERLINK("http://www.ncbi.nlm.nih.gov/Taxonomy/Browser/wwwtax.cgi?mode=Info&amp;id=9407&amp;lvl=3&amp;lin=f&amp;keep=1&amp;srchmode=1&amp;unlock","9407")</f>
        <v>9407</v>
      </c>
      <c r="E28" t="s">
        <v>66</v>
      </c>
      <c r="F28" t="str">
        <f>HYPERLINK("http://www.ncbi.nlm.nih.gov/Taxonomy/Browser/wwwtax.cgi?mode=Info&amp;id=9407&amp;lvl=3&amp;lin=f&amp;keep=1&amp;srchmode=1&amp;unlock","Rousettus aegyptiacus")</f>
        <v>Rousettus aegyptiacus</v>
      </c>
      <c r="G28" t="s">
        <v>103</v>
      </c>
      <c r="H28" t="str">
        <f>HYPERLINK("http://www.ncbi.nlm.nih.gov/protein/XP_015991597.2","mitochondrial antiviral-signaling protein isoform X1")</f>
        <v>mitochondrial antiviral-signaling protein isoform X1</v>
      </c>
      <c r="I28" t="s">
        <v>263</v>
      </c>
      <c r="J28" t="s">
        <v>69</v>
      </c>
      <c r="K28">
        <v>429</v>
      </c>
      <c r="L28" t="s">
        <v>156</v>
      </c>
      <c r="M28" t="s">
        <v>69</v>
      </c>
      <c r="N28" t="s">
        <v>120</v>
      </c>
      <c r="O28" t="s">
        <v>69</v>
      </c>
      <c r="P28">
        <v>133.10400000000001</v>
      </c>
      <c r="Q28" t="s">
        <v>69</v>
      </c>
      <c r="R28" t="s">
        <v>69</v>
      </c>
      <c r="S28">
        <v>430</v>
      </c>
      <c r="T28" t="s">
        <v>72</v>
      </c>
      <c r="U28" t="s">
        <v>69</v>
      </c>
      <c r="V28" t="s">
        <v>71</v>
      </c>
      <c r="W28" t="s">
        <v>69</v>
      </c>
      <c r="X28">
        <v>131.17500000000001</v>
      </c>
      <c r="Y28" t="s">
        <v>69</v>
      </c>
      <c r="Z28" t="s">
        <v>69</v>
      </c>
      <c r="AA28">
        <v>444</v>
      </c>
      <c r="AB28" t="s">
        <v>153</v>
      </c>
      <c r="AC28" t="s">
        <v>153</v>
      </c>
      <c r="AD28" t="s">
        <v>148</v>
      </c>
      <c r="AE28" t="s">
        <v>153</v>
      </c>
      <c r="AF28">
        <v>132.119</v>
      </c>
      <c r="AG28" t="s">
        <v>69</v>
      </c>
      <c r="AH28" t="s">
        <v>69</v>
      </c>
      <c r="AI28">
        <v>446</v>
      </c>
      <c r="AJ28" t="s">
        <v>146</v>
      </c>
      <c r="AK28" t="s">
        <v>69</v>
      </c>
      <c r="AL28" t="s">
        <v>71</v>
      </c>
      <c r="AM28" t="s">
        <v>69</v>
      </c>
      <c r="AN28">
        <v>115.13200000000001</v>
      </c>
      <c r="AO28" t="s">
        <v>69</v>
      </c>
      <c r="AP28" t="s">
        <v>69</v>
      </c>
    </row>
    <row r="29" spans="1:42" x14ac:dyDescent="0.25">
      <c r="A29">
        <v>7</v>
      </c>
      <c r="B29" t="str">
        <f>HYPERLINK("http://www.ncbi.nlm.nih.gov/protein/XP_005068707.1","XP_005068707.1")</f>
        <v>XP_005068707.1</v>
      </c>
      <c r="C29">
        <v>54410</v>
      </c>
      <c r="D29" t="str">
        <f>HYPERLINK("http://www.ncbi.nlm.nih.gov/Taxonomy/Browser/wwwtax.cgi?mode=Info&amp;id=10036&amp;lvl=3&amp;lin=f&amp;keep=1&amp;srchmode=1&amp;unlock","10036")</f>
        <v>10036</v>
      </c>
      <c r="E29" t="s">
        <v>66</v>
      </c>
      <c r="F29" t="str">
        <f>HYPERLINK("http://www.ncbi.nlm.nih.gov/Taxonomy/Browser/wwwtax.cgi?mode=Info&amp;id=10036&amp;lvl=3&amp;lin=f&amp;keep=1&amp;srchmode=1&amp;unlock","Mesocricetus auratus")</f>
        <v>Mesocricetus auratus</v>
      </c>
      <c r="G29" t="s">
        <v>87</v>
      </c>
      <c r="H29" t="str">
        <f>HYPERLINK("http://www.ncbi.nlm.nih.gov/protein/XP_005068707.1","mitochondrial antiviral-signaling protein isoform X1")</f>
        <v>mitochondrial antiviral-signaling protein isoform X1</v>
      </c>
      <c r="I29" t="s">
        <v>263</v>
      </c>
      <c r="J29" t="s">
        <v>69</v>
      </c>
      <c r="K29">
        <v>408</v>
      </c>
      <c r="L29" t="s">
        <v>156</v>
      </c>
      <c r="M29" t="s">
        <v>69</v>
      </c>
      <c r="N29" t="s">
        <v>120</v>
      </c>
      <c r="O29" t="s">
        <v>69</v>
      </c>
      <c r="P29">
        <v>133.10400000000001</v>
      </c>
      <c r="Q29" t="s">
        <v>69</v>
      </c>
      <c r="R29" t="s">
        <v>69</v>
      </c>
      <c r="S29">
        <v>409</v>
      </c>
      <c r="T29" t="s">
        <v>72</v>
      </c>
      <c r="U29" t="s">
        <v>69</v>
      </c>
      <c r="V29" t="s">
        <v>71</v>
      </c>
      <c r="W29" t="s">
        <v>69</v>
      </c>
      <c r="X29">
        <v>131.17500000000001</v>
      </c>
      <c r="Y29" t="s">
        <v>69</v>
      </c>
      <c r="Z29" t="s">
        <v>69</v>
      </c>
      <c r="AA29">
        <v>423</v>
      </c>
      <c r="AB29" t="s">
        <v>74</v>
      </c>
      <c r="AC29" t="s">
        <v>153</v>
      </c>
      <c r="AD29" t="s">
        <v>75</v>
      </c>
      <c r="AE29" t="s">
        <v>69</v>
      </c>
      <c r="AF29">
        <v>174.203</v>
      </c>
      <c r="AG29" t="s">
        <v>69</v>
      </c>
      <c r="AH29" t="s">
        <v>69</v>
      </c>
      <c r="AI29">
        <v>425</v>
      </c>
      <c r="AJ29" t="s">
        <v>146</v>
      </c>
      <c r="AK29" t="s">
        <v>69</v>
      </c>
      <c r="AL29" t="s">
        <v>71</v>
      </c>
      <c r="AM29" t="s">
        <v>69</v>
      </c>
      <c r="AN29">
        <v>115.13200000000001</v>
      </c>
      <c r="AO29" t="s">
        <v>69</v>
      </c>
      <c r="AP29" t="s">
        <v>69</v>
      </c>
    </row>
    <row r="30" spans="1:42" x14ac:dyDescent="0.25">
      <c r="A30">
        <v>7</v>
      </c>
      <c r="B30" t="str">
        <f>HYPERLINK("http://www.ncbi.nlm.nih.gov/protein/NP_001005556.1","NP_001005556.1")</f>
        <v>NP_001005556.1</v>
      </c>
      <c r="C30">
        <v>158159</v>
      </c>
      <c r="D30" t="str">
        <f>HYPERLINK("http://www.ncbi.nlm.nih.gov/Taxonomy/Browser/wwwtax.cgi?mode=Info&amp;id=10116&amp;lvl=3&amp;lin=f&amp;keep=1&amp;srchmode=1&amp;unlock","10116")</f>
        <v>10116</v>
      </c>
      <c r="E30" t="s">
        <v>66</v>
      </c>
      <c r="F30" t="str">
        <f>HYPERLINK("http://www.ncbi.nlm.nih.gov/Taxonomy/Browser/wwwtax.cgi?mode=Info&amp;id=10116&amp;lvl=3&amp;lin=f&amp;keep=1&amp;srchmode=1&amp;unlock","Rattus norvegicus")</f>
        <v>Rattus norvegicus</v>
      </c>
      <c r="G30" t="s">
        <v>102</v>
      </c>
      <c r="H30" t="str">
        <f>HYPERLINK("http://www.ncbi.nlm.nih.gov/protein/NP_001005556.1","mitochondrial antiviral-signaling protein")</f>
        <v>mitochondrial antiviral-signaling protein</v>
      </c>
      <c r="I30" t="s">
        <v>263</v>
      </c>
      <c r="J30" t="s">
        <v>69</v>
      </c>
      <c r="K30">
        <v>418</v>
      </c>
      <c r="L30" t="s">
        <v>156</v>
      </c>
      <c r="M30" t="s">
        <v>69</v>
      </c>
      <c r="N30" t="s">
        <v>120</v>
      </c>
      <c r="O30" t="s">
        <v>69</v>
      </c>
      <c r="P30">
        <v>133.10400000000001</v>
      </c>
      <c r="Q30" t="s">
        <v>69</v>
      </c>
      <c r="R30" t="s">
        <v>69</v>
      </c>
      <c r="S30">
        <v>419</v>
      </c>
      <c r="T30" t="s">
        <v>72</v>
      </c>
      <c r="U30" t="s">
        <v>69</v>
      </c>
      <c r="V30" t="s">
        <v>71</v>
      </c>
      <c r="W30" t="s">
        <v>69</v>
      </c>
      <c r="X30">
        <v>131.17500000000001</v>
      </c>
      <c r="Y30" t="s">
        <v>69</v>
      </c>
      <c r="Z30" t="s">
        <v>69</v>
      </c>
      <c r="AA30">
        <v>433</v>
      </c>
      <c r="AB30" t="s">
        <v>157</v>
      </c>
      <c r="AC30" t="s">
        <v>69</v>
      </c>
      <c r="AD30" t="s">
        <v>75</v>
      </c>
      <c r="AE30" t="s">
        <v>69</v>
      </c>
      <c r="AF30">
        <v>155.15600000000001</v>
      </c>
      <c r="AG30" t="s">
        <v>69</v>
      </c>
      <c r="AH30" t="s">
        <v>69</v>
      </c>
      <c r="AI30">
        <v>435</v>
      </c>
      <c r="AJ30" t="s">
        <v>146</v>
      </c>
      <c r="AK30" t="s">
        <v>69</v>
      </c>
      <c r="AL30" t="s">
        <v>71</v>
      </c>
      <c r="AM30" t="s">
        <v>69</v>
      </c>
      <c r="AN30">
        <v>115.13200000000001</v>
      </c>
      <c r="AO30" t="s">
        <v>69</v>
      </c>
      <c r="AP30" t="s">
        <v>69</v>
      </c>
    </row>
    <row r="31" spans="1:42" x14ac:dyDescent="0.25">
      <c r="A31">
        <v>7</v>
      </c>
      <c r="B31" t="str">
        <f>HYPERLINK("http://www.ncbi.nlm.nih.gov/protein/XP_006984618.1","XP_006984618.1")</f>
        <v>XP_006984618.1</v>
      </c>
      <c r="C31">
        <v>54287</v>
      </c>
      <c r="D31" t="str">
        <f>HYPERLINK("http://www.ncbi.nlm.nih.gov/Taxonomy/Browser/wwwtax.cgi?mode=Info&amp;id=230844&amp;lvl=3&amp;lin=f&amp;keep=1&amp;srchmode=1&amp;unlock","230844")</f>
        <v>230844</v>
      </c>
      <c r="E31" t="s">
        <v>66</v>
      </c>
      <c r="F31" t="str">
        <f>HYPERLINK("http://www.ncbi.nlm.nih.gov/Taxonomy/Browser/wwwtax.cgi?mode=Info&amp;id=230844&amp;lvl=3&amp;lin=f&amp;keep=1&amp;srchmode=1&amp;unlock","Peromyscus maniculatus bairdii")</f>
        <v>Peromyscus maniculatus bairdii</v>
      </c>
      <c r="G31" t="s">
        <v>88</v>
      </c>
      <c r="H31" t="str">
        <f>HYPERLINK("http://www.ncbi.nlm.nih.gov/protein/XP_006984618.1","mitochondrial antiviral-signaling protein")</f>
        <v>mitochondrial antiviral-signaling protein</v>
      </c>
      <c r="I31" t="s">
        <v>263</v>
      </c>
      <c r="J31" t="s">
        <v>69</v>
      </c>
      <c r="K31">
        <v>418</v>
      </c>
      <c r="L31" t="s">
        <v>156</v>
      </c>
      <c r="M31" t="s">
        <v>69</v>
      </c>
      <c r="N31" t="s">
        <v>120</v>
      </c>
      <c r="O31" t="s">
        <v>69</v>
      </c>
      <c r="P31">
        <v>133.10400000000001</v>
      </c>
      <c r="Q31" t="s">
        <v>69</v>
      </c>
      <c r="R31" t="s">
        <v>69</v>
      </c>
      <c r="S31">
        <v>419</v>
      </c>
      <c r="T31" t="s">
        <v>72</v>
      </c>
      <c r="U31" t="s">
        <v>69</v>
      </c>
      <c r="V31" t="s">
        <v>71</v>
      </c>
      <c r="W31" t="s">
        <v>69</v>
      </c>
      <c r="X31">
        <v>131.17500000000001</v>
      </c>
      <c r="Y31" t="s">
        <v>69</v>
      </c>
      <c r="Z31" t="s">
        <v>69</v>
      </c>
      <c r="AA31">
        <v>433</v>
      </c>
      <c r="AB31" t="s">
        <v>157</v>
      </c>
      <c r="AC31" t="s">
        <v>69</v>
      </c>
      <c r="AD31" t="s">
        <v>75</v>
      </c>
      <c r="AE31" t="s">
        <v>69</v>
      </c>
      <c r="AF31">
        <v>155.15600000000001</v>
      </c>
      <c r="AG31" t="s">
        <v>69</v>
      </c>
      <c r="AH31" t="s">
        <v>69</v>
      </c>
      <c r="AI31">
        <v>435</v>
      </c>
      <c r="AJ31" t="s">
        <v>146</v>
      </c>
      <c r="AK31" t="s">
        <v>69</v>
      </c>
      <c r="AL31" t="s">
        <v>71</v>
      </c>
      <c r="AM31" t="s">
        <v>69</v>
      </c>
      <c r="AN31">
        <v>115.13200000000001</v>
      </c>
      <c r="AO31" t="s">
        <v>69</v>
      </c>
      <c r="AP31" t="s">
        <v>69</v>
      </c>
    </row>
    <row r="32" spans="1:42" x14ac:dyDescent="0.25">
      <c r="A32">
        <v>7</v>
      </c>
      <c r="B32" t="str">
        <f>HYPERLINK("http://www.ncbi.nlm.nih.gov/protein/AYU75379.1","AYU75379.1")</f>
        <v>AYU75379.1</v>
      </c>
      <c r="C32">
        <v>2431</v>
      </c>
      <c r="D32" t="str">
        <f>HYPERLINK("http://www.ncbi.nlm.nih.gov/Taxonomy/Browser/wwwtax.cgi?mode=Info&amp;id=447135&amp;lvl=3&amp;lin=f&amp;keep=1&amp;srchmode=1&amp;unlock","447135")</f>
        <v>447135</v>
      </c>
      <c r="E32" t="s">
        <v>66</v>
      </c>
      <c r="F32" t="str">
        <f>HYPERLINK("http://www.ncbi.nlm.nih.gov/Taxonomy/Browser/wwwtax.cgi?mode=Info&amp;id=447135&amp;lvl=3&amp;lin=f&amp;keep=1&amp;srchmode=1&amp;unlock","Myodes glareolus")</f>
        <v>Myodes glareolus</v>
      </c>
      <c r="G32" t="s">
        <v>264</v>
      </c>
      <c r="H32" t="str">
        <f>HYPERLINK("http://www.ncbi.nlm.nih.gov/protein/AYU75379.1","MAVS protein")</f>
        <v>MAVS protein</v>
      </c>
      <c r="I32" t="s">
        <v>263</v>
      </c>
      <c r="J32" t="s">
        <v>69</v>
      </c>
      <c r="K32">
        <v>417</v>
      </c>
      <c r="L32" t="s">
        <v>156</v>
      </c>
      <c r="M32" t="s">
        <v>69</v>
      </c>
      <c r="N32" t="s">
        <v>120</v>
      </c>
      <c r="O32" t="s">
        <v>69</v>
      </c>
      <c r="P32">
        <v>133.10400000000001</v>
      </c>
      <c r="Q32" t="s">
        <v>69</v>
      </c>
      <c r="R32" t="s">
        <v>69</v>
      </c>
      <c r="S32">
        <v>418</v>
      </c>
      <c r="T32" t="s">
        <v>72</v>
      </c>
      <c r="U32" t="s">
        <v>69</v>
      </c>
      <c r="V32" t="s">
        <v>71</v>
      </c>
      <c r="W32" t="s">
        <v>69</v>
      </c>
      <c r="X32">
        <v>131.17500000000001</v>
      </c>
      <c r="Y32" t="s">
        <v>69</v>
      </c>
      <c r="Z32" t="s">
        <v>69</v>
      </c>
      <c r="AA32">
        <v>432</v>
      </c>
      <c r="AB32" t="s">
        <v>74</v>
      </c>
      <c r="AC32" t="s">
        <v>153</v>
      </c>
      <c r="AD32" t="s">
        <v>75</v>
      </c>
      <c r="AE32" t="s">
        <v>69</v>
      </c>
      <c r="AF32">
        <v>174.203</v>
      </c>
      <c r="AG32" t="s">
        <v>69</v>
      </c>
      <c r="AH32" t="s">
        <v>69</v>
      </c>
      <c r="AI32">
        <v>434</v>
      </c>
      <c r="AJ32" t="s">
        <v>146</v>
      </c>
      <c r="AK32" t="s">
        <v>69</v>
      </c>
      <c r="AL32" t="s">
        <v>71</v>
      </c>
      <c r="AM32" t="s">
        <v>69</v>
      </c>
      <c r="AN32">
        <v>115.13200000000001</v>
      </c>
      <c r="AO32" t="s">
        <v>69</v>
      </c>
      <c r="AP32" t="s">
        <v>69</v>
      </c>
    </row>
    <row r="33" spans="1:42" x14ac:dyDescent="0.25">
      <c r="A33">
        <v>7</v>
      </c>
      <c r="B33" t="str">
        <f>HYPERLINK("http://www.ncbi.nlm.nih.gov/protein/XP_021148552.1","XP_021148552.1")</f>
        <v>XP_021148552.1</v>
      </c>
      <c r="C33">
        <v>50957</v>
      </c>
      <c r="D33" t="str">
        <f>HYPERLINK("http://www.ncbi.nlm.nih.gov/Taxonomy/Browser/wwwtax.cgi?mode=Info&amp;id=8932&amp;lvl=3&amp;lin=f&amp;keep=1&amp;srchmode=1&amp;unlock","8932")</f>
        <v>8932</v>
      </c>
      <c r="E33" t="s">
        <v>107</v>
      </c>
      <c r="F33" t="str">
        <f>HYPERLINK("http://www.ncbi.nlm.nih.gov/Taxonomy/Browser/wwwtax.cgi?mode=Info&amp;id=8932&amp;lvl=3&amp;lin=f&amp;keep=1&amp;srchmode=1&amp;unlock","Columba livia")</f>
        <v>Columba livia</v>
      </c>
      <c r="G33" t="s">
        <v>108</v>
      </c>
      <c r="H33" t="str">
        <f>HYPERLINK("http://www.ncbi.nlm.nih.gov/protein/XP_021148552.1","mitochondrial antiviral-signaling protein")</f>
        <v>mitochondrial antiviral-signaling protein</v>
      </c>
      <c r="I33" t="s">
        <v>263</v>
      </c>
      <c r="J33" t="s">
        <v>153</v>
      </c>
      <c r="K33">
        <v>504</v>
      </c>
      <c r="L33" t="s">
        <v>155</v>
      </c>
      <c r="M33" t="s">
        <v>153</v>
      </c>
      <c r="N33" t="s">
        <v>150</v>
      </c>
      <c r="O33" t="s">
        <v>153</v>
      </c>
      <c r="P33">
        <v>105.093</v>
      </c>
      <c r="Q33" t="s">
        <v>69</v>
      </c>
      <c r="R33" t="s">
        <v>69</v>
      </c>
      <c r="S33">
        <v>505</v>
      </c>
      <c r="T33" t="s">
        <v>72</v>
      </c>
      <c r="U33" t="s">
        <v>69</v>
      </c>
      <c r="V33" t="s">
        <v>71</v>
      </c>
      <c r="W33" t="s">
        <v>69</v>
      </c>
      <c r="X33">
        <v>131.17500000000001</v>
      </c>
      <c r="Y33" t="s">
        <v>69</v>
      </c>
      <c r="Z33" t="s">
        <v>69</v>
      </c>
      <c r="AA33">
        <v>526</v>
      </c>
      <c r="AB33" t="s">
        <v>155</v>
      </c>
      <c r="AC33" t="s">
        <v>153</v>
      </c>
      <c r="AD33" t="s">
        <v>150</v>
      </c>
      <c r="AE33" t="s">
        <v>153</v>
      </c>
      <c r="AF33">
        <v>105.093</v>
      </c>
      <c r="AG33" t="s">
        <v>153</v>
      </c>
      <c r="AH33" t="s">
        <v>153</v>
      </c>
      <c r="AI33">
        <v>532</v>
      </c>
      <c r="AJ33" t="s">
        <v>249</v>
      </c>
      <c r="AK33" t="s">
        <v>153</v>
      </c>
      <c r="AL33" t="s">
        <v>117</v>
      </c>
      <c r="AM33" t="s">
        <v>153</v>
      </c>
      <c r="AN33">
        <v>121.154</v>
      </c>
      <c r="AO33" t="s">
        <v>69</v>
      </c>
      <c r="AP33" t="s">
        <v>69</v>
      </c>
    </row>
    <row r="34" spans="1:42" x14ac:dyDescent="0.25">
      <c r="A34">
        <v>7</v>
      </c>
      <c r="B34" t="str">
        <f>HYPERLINK("http://www.ncbi.nlm.nih.gov/protein/XP_014380382.1","XP_014380382.1")</f>
        <v>XP_014380382.1</v>
      </c>
      <c r="C34">
        <v>43404</v>
      </c>
      <c r="D34" t="str">
        <f>HYPERLINK("http://www.ncbi.nlm.nih.gov/Taxonomy/Browser/wwwtax.cgi?mode=Info&amp;id=38654&amp;lvl=3&amp;lin=f&amp;keep=1&amp;srchmode=1&amp;unlock","38654")</f>
        <v>38654</v>
      </c>
      <c r="E34" t="s">
        <v>109</v>
      </c>
      <c r="F34" t="str">
        <f>HYPERLINK("http://www.ncbi.nlm.nih.gov/Taxonomy/Browser/wwwtax.cgi?mode=Info&amp;id=38654&amp;lvl=3&amp;lin=f&amp;keep=1&amp;srchmode=1&amp;unlock","Alligator sinensis")</f>
        <v>Alligator sinensis</v>
      </c>
      <c r="G34" t="s">
        <v>110</v>
      </c>
      <c r="H34" t="str">
        <f>HYPERLINK("http://www.ncbi.nlm.nih.gov/protein/XP_014380382.1","mitochondrial antiviral-signaling protein")</f>
        <v>mitochondrial antiviral-signaling protein</v>
      </c>
      <c r="I34" t="s">
        <v>263</v>
      </c>
      <c r="J34" t="s">
        <v>153</v>
      </c>
      <c r="K34">
        <v>590</v>
      </c>
      <c r="L34" t="s">
        <v>74</v>
      </c>
      <c r="M34" t="s">
        <v>153</v>
      </c>
      <c r="N34" t="s">
        <v>75</v>
      </c>
      <c r="O34" t="s">
        <v>153</v>
      </c>
      <c r="P34">
        <v>174.203</v>
      </c>
      <c r="Q34" t="s">
        <v>153</v>
      </c>
      <c r="R34" t="s">
        <v>153</v>
      </c>
      <c r="S34">
        <v>591</v>
      </c>
      <c r="T34" t="s">
        <v>151</v>
      </c>
      <c r="U34" t="s">
        <v>153</v>
      </c>
      <c r="V34" t="s">
        <v>152</v>
      </c>
      <c r="W34" t="s">
        <v>153</v>
      </c>
      <c r="X34">
        <v>165.19200000000001</v>
      </c>
      <c r="Y34" t="s">
        <v>153</v>
      </c>
      <c r="Z34" t="s">
        <v>153</v>
      </c>
      <c r="AA34">
        <v>611</v>
      </c>
      <c r="AB34" t="s">
        <v>70</v>
      </c>
      <c r="AC34" t="s">
        <v>153</v>
      </c>
      <c r="AD34" t="s">
        <v>71</v>
      </c>
      <c r="AE34" t="s">
        <v>153</v>
      </c>
      <c r="AF34">
        <v>75.066999999999993</v>
      </c>
      <c r="AG34" t="s">
        <v>153</v>
      </c>
      <c r="AH34" t="s">
        <v>153</v>
      </c>
      <c r="AI34">
        <v>617</v>
      </c>
      <c r="AJ34" t="s">
        <v>146</v>
      </c>
      <c r="AK34" t="s">
        <v>69</v>
      </c>
      <c r="AL34" t="s">
        <v>71</v>
      </c>
      <c r="AM34" t="s">
        <v>69</v>
      </c>
      <c r="AN34">
        <v>115.13200000000001</v>
      </c>
      <c r="AO34" t="s">
        <v>69</v>
      </c>
      <c r="AP34" t="s">
        <v>69</v>
      </c>
    </row>
    <row r="35" spans="1:42" x14ac:dyDescent="0.25">
      <c r="A35">
        <v>7</v>
      </c>
      <c r="B35" t="str">
        <f>HYPERLINK("http://www.ncbi.nlm.nih.gov/protein/XP_041443160.1","XP_041443160.1")</f>
        <v>XP_041443160.1</v>
      </c>
      <c r="C35">
        <v>146185</v>
      </c>
      <c r="D35" t="str">
        <f>HYPERLINK("http://www.ncbi.nlm.nih.gov/Taxonomy/Browser/wwwtax.cgi?mode=Info&amp;id=8355&amp;lvl=3&amp;lin=f&amp;keep=1&amp;srchmode=1&amp;unlock","8355")</f>
        <v>8355</v>
      </c>
      <c r="E35" t="s">
        <v>111</v>
      </c>
      <c r="F35" t="str">
        <f>HYPERLINK("http://www.ncbi.nlm.nih.gov/Taxonomy/Browser/wwwtax.cgi?mode=Info&amp;id=8355&amp;lvl=3&amp;lin=f&amp;keep=1&amp;srchmode=1&amp;unlock","Xenopus laevis")</f>
        <v>Xenopus laevis</v>
      </c>
      <c r="G35" t="s">
        <v>112</v>
      </c>
      <c r="H35" t="str">
        <f>HYPERLINK("http://www.ncbi.nlm.nih.gov/protein/XP_041443160.1","mitochondrial antiviral-signaling protein isoform X1")</f>
        <v>mitochondrial antiviral-signaling protein isoform X1</v>
      </c>
      <c r="I35" t="s">
        <v>263</v>
      </c>
      <c r="J35" t="s">
        <v>69</v>
      </c>
      <c r="K35">
        <v>432</v>
      </c>
      <c r="L35" t="s">
        <v>153</v>
      </c>
      <c r="M35" t="s">
        <v>153</v>
      </c>
      <c r="N35" t="s">
        <v>148</v>
      </c>
      <c r="O35" t="s">
        <v>153</v>
      </c>
      <c r="P35">
        <v>132.119</v>
      </c>
      <c r="Q35" t="s">
        <v>69</v>
      </c>
      <c r="R35" t="s">
        <v>69</v>
      </c>
      <c r="S35">
        <v>433</v>
      </c>
      <c r="T35" t="s">
        <v>72</v>
      </c>
      <c r="U35" t="s">
        <v>69</v>
      </c>
      <c r="V35" t="s">
        <v>71</v>
      </c>
      <c r="W35" t="s">
        <v>69</v>
      </c>
      <c r="X35">
        <v>131.17500000000001</v>
      </c>
      <c r="Y35" t="s">
        <v>69</v>
      </c>
      <c r="Z35" t="s">
        <v>69</v>
      </c>
      <c r="AA35">
        <v>480</v>
      </c>
      <c r="AB35" t="s">
        <v>157</v>
      </c>
      <c r="AC35" t="s">
        <v>69</v>
      </c>
      <c r="AD35" t="s">
        <v>75</v>
      </c>
      <c r="AE35" t="s">
        <v>69</v>
      </c>
      <c r="AF35">
        <v>155.15600000000001</v>
      </c>
      <c r="AG35" t="s">
        <v>69</v>
      </c>
      <c r="AH35" t="s">
        <v>69</v>
      </c>
      <c r="AI35">
        <v>492</v>
      </c>
      <c r="AJ35" t="s">
        <v>146</v>
      </c>
      <c r="AK35" t="s">
        <v>69</v>
      </c>
      <c r="AL35" t="s">
        <v>71</v>
      </c>
      <c r="AM35" t="s">
        <v>69</v>
      </c>
      <c r="AN35">
        <v>115.13200000000001</v>
      </c>
      <c r="AO35" t="s">
        <v>69</v>
      </c>
      <c r="AP35" t="s">
        <v>69</v>
      </c>
    </row>
    <row r="36" spans="1:42" x14ac:dyDescent="0.25">
      <c r="A36">
        <v>7</v>
      </c>
      <c r="B36" t="str">
        <f>HYPERLINK("http://www.ncbi.nlm.nih.gov/protein/XP_039528644.1","XP_039528644.1")</f>
        <v>XP_039528644.1</v>
      </c>
      <c r="C36">
        <v>96114</v>
      </c>
      <c r="D36" t="str">
        <f>HYPERLINK("http://www.ncbi.nlm.nih.gov/Taxonomy/Browser/wwwtax.cgi?mode=Info&amp;id=90988&amp;lvl=3&amp;lin=f&amp;keep=1&amp;srchmode=1&amp;unlock","90988")</f>
        <v>90988</v>
      </c>
      <c r="E36" t="s">
        <v>113</v>
      </c>
      <c r="F36" t="str">
        <f>HYPERLINK("http://www.ncbi.nlm.nih.gov/Taxonomy/Browser/wwwtax.cgi?mode=Info&amp;id=90988&amp;lvl=3&amp;lin=f&amp;keep=1&amp;srchmode=1&amp;unlock","Pimephales promelas")</f>
        <v>Pimephales promelas</v>
      </c>
      <c r="G36" t="s">
        <v>114</v>
      </c>
      <c r="H36" t="str">
        <f>HYPERLINK("http://www.ncbi.nlm.nih.gov/protein/XP_039528644.1","mitochondrial antiviral-signaling protein isoform X2")</f>
        <v>mitochondrial antiviral-signaling protein isoform X2</v>
      </c>
      <c r="I36" t="s">
        <v>263</v>
      </c>
      <c r="J36" t="s">
        <v>153</v>
      </c>
      <c r="K36">
        <v>411</v>
      </c>
      <c r="L36" t="s">
        <v>156</v>
      </c>
      <c r="M36" t="s">
        <v>69</v>
      </c>
      <c r="N36" t="s">
        <v>120</v>
      </c>
      <c r="O36" t="s">
        <v>69</v>
      </c>
      <c r="P36">
        <v>133.10400000000001</v>
      </c>
      <c r="Q36" t="s">
        <v>69</v>
      </c>
      <c r="R36" t="s">
        <v>69</v>
      </c>
      <c r="S36">
        <v>412</v>
      </c>
      <c r="T36" t="s">
        <v>72</v>
      </c>
      <c r="U36" t="s">
        <v>69</v>
      </c>
      <c r="V36" t="s">
        <v>71</v>
      </c>
      <c r="W36" t="s">
        <v>69</v>
      </c>
      <c r="X36">
        <v>131.17500000000001</v>
      </c>
      <c r="Y36" t="s">
        <v>69</v>
      </c>
      <c r="Z36" t="s">
        <v>69</v>
      </c>
      <c r="AA36">
        <v>426</v>
      </c>
      <c r="AB36" t="s">
        <v>74</v>
      </c>
      <c r="AC36" t="s">
        <v>153</v>
      </c>
      <c r="AD36" t="s">
        <v>75</v>
      </c>
      <c r="AE36" t="s">
        <v>69</v>
      </c>
      <c r="AF36">
        <v>174.203</v>
      </c>
      <c r="AG36" t="s">
        <v>69</v>
      </c>
      <c r="AH36" t="s">
        <v>69</v>
      </c>
      <c r="AI36" t="s">
        <v>159</v>
      </c>
      <c r="AJ36" t="s">
        <v>159</v>
      </c>
      <c r="AK36" t="s">
        <v>153</v>
      </c>
      <c r="AL36" t="s">
        <v>159</v>
      </c>
      <c r="AM36" t="s">
        <v>153</v>
      </c>
      <c r="AN36" t="s">
        <v>159</v>
      </c>
      <c r="AO36" t="s">
        <v>153</v>
      </c>
      <c r="AP36" t="s">
        <v>153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6"/>
  <sheetViews>
    <sheetView topLeftCell="AQ9" workbookViewId="0">
      <selection activeCell="O1" sqref="O1"/>
    </sheetView>
  </sheetViews>
  <sheetFormatPr defaultRowHeight="15" x14ac:dyDescent="0.25"/>
  <cols>
    <col min="8" max="8" width="42.140625" customWidth="1"/>
  </cols>
  <sheetData>
    <row r="1" spans="1:66"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row>
    <row r="2" spans="1:66" x14ac:dyDescent="0.25">
      <c r="A2">
        <v>7</v>
      </c>
      <c r="B2" t="str">
        <f>HYPERLINK("http://www.ncbi.nlm.nih.gov/protein/NP_000996.2","NP_000996.2")</f>
        <v>NP_000996.2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HYPERLINK("http://www.ncbi.nlm.nih.gov/protein/NP_000996.2","40S ribosomal protein S3 isoform 1")</f>
        <v>40S ribosomal protein S3 isoform 1</v>
      </c>
      <c r="I2" t="s">
        <v>68</v>
      </c>
      <c r="J2" t="s">
        <v>69</v>
      </c>
      <c r="K2">
        <v>112</v>
      </c>
      <c r="L2" t="s">
        <v>70</v>
      </c>
      <c r="M2" t="s">
        <v>69</v>
      </c>
      <c r="N2" t="s">
        <v>71</v>
      </c>
      <c r="O2" t="s">
        <v>69</v>
      </c>
      <c r="P2">
        <v>75.066999999999993</v>
      </c>
      <c r="Q2" t="s">
        <v>69</v>
      </c>
      <c r="R2" t="s">
        <v>69</v>
      </c>
      <c r="S2">
        <v>113</v>
      </c>
      <c r="T2" t="s">
        <v>72</v>
      </c>
      <c r="U2" t="s">
        <v>69</v>
      </c>
      <c r="V2" t="s">
        <v>71</v>
      </c>
      <c r="W2" t="s">
        <v>69</v>
      </c>
      <c r="X2">
        <v>131.17500000000001</v>
      </c>
      <c r="Y2" t="s">
        <v>69</v>
      </c>
      <c r="Z2" t="s">
        <v>69</v>
      </c>
      <c r="AA2">
        <v>114</v>
      </c>
      <c r="AB2" t="s">
        <v>73</v>
      </c>
      <c r="AC2" t="s">
        <v>69</v>
      </c>
      <c r="AD2" t="s">
        <v>71</v>
      </c>
      <c r="AE2" t="s">
        <v>69</v>
      </c>
      <c r="AF2">
        <v>89.093999999999994</v>
      </c>
      <c r="AG2" t="s">
        <v>69</v>
      </c>
      <c r="AH2" t="s">
        <v>69</v>
      </c>
      <c r="AI2">
        <v>116</v>
      </c>
      <c r="AJ2" t="s">
        <v>74</v>
      </c>
      <c r="AK2" t="s">
        <v>69</v>
      </c>
      <c r="AL2" t="s">
        <v>75</v>
      </c>
      <c r="AM2" t="s">
        <v>69</v>
      </c>
      <c r="AN2">
        <v>174.203</v>
      </c>
      <c r="AO2" t="s">
        <v>69</v>
      </c>
      <c r="AP2" t="s">
        <v>69</v>
      </c>
      <c r="AQ2">
        <v>117</v>
      </c>
      <c r="AR2" t="s">
        <v>74</v>
      </c>
      <c r="AS2" t="s">
        <v>69</v>
      </c>
      <c r="AT2" t="s">
        <v>75</v>
      </c>
      <c r="AU2" t="s">
        <v>69</v>
      </c>
      <c r="AV2">
        <v>174.203</v>
      </c>
      <c r="AW2" t="s">
        <v>69</v>
      </c>
      <c r="AX2" t="s">
        <v>69</v>
      </c>
      <c r="AY2">
        <v>143</v>
      </c>
      <c r="AZ2" t="s">
        <v>74</v>
      </c>
      <c r="BA2" t="s">
        <v>69</v>
      </c>
      <c r="BB2" t="s">
        <v>75</v>
      </c>
      <c r="BC2" t="s">
        <v>69</v>
      </c>
      <c r="BD2">
        <v>174.203</v>
      </c>
      <c r="BE2" t="s">
        <v>69</v>
      </c>
      <c r="BF2" t="s">
        <v>69</v>
      </c>
      <c r="BG2">
        <v>148</v>
      </c>
      <c r="BH2" t="s">
        <v>76</v>
      </c>
      <c r="BI2" t="s">
        <v>69</v>
      </c>
      <c r="BJ2" t="s">
        <v>75</v>
      </c>
      <c r="BK2" t="s">
        <v>69</v>
      </c>
      <c r="BL2">
        <v>146.18899999999999</v>
      </c>
      <c r="BM2" t="s">
        <v>69</v>
      </c>
      <c r="BN2" t="s">
        <v>69</v>
      </c>
    </row>
    <row r="3" spans="1:66" x14ac:dyDescent="0.25">
      <c r="A3">
        <v>7</v>
      </c>
      <c r="B3" t="str">
        <f>HYPERLINK("http://www.ncbi.nlm.nih.gov/protein/NP_001253219.1","NP_001253219.1")</f>
        <v>NP_001253219.1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HYPERLINK("http://www.ncbi.nlm.nih.gov/protein/NP_001253219.1","40S ribosomal protein S3")</f>
        <v>40S ribosomal protein S3</v>
      </c>
      <c r="I3" t="s">
        <v>68</v>
      </c>
      <c r="J3" t="s">
        <v>69</v>
      </c>
      <c r="K3">
        <v>112</v>
      </c>
      <c r="L3" t="s">
        <v>70</v>
      </c>
      <c r="M3" t="s">
        <v>69</v>
      </c>
      <c r="N3" t="s">
        <v>71</v>
      </c>
      <c r="O3" t="s">
        <v>69</v>
      </c>
      <c r="P3">
        <v>75.066999999999993</v>
      </c>
      <c r="Q3" t="s">
        <v>69</v>
      </c>
      <c r="R3" t="s">
        <v>69</v>
      </c>
      <c r="S3">
        <v>113</v>
      </c>
      <c r="T3" t="s">
        <v>72</v>
      </c>
      <c r="U3" t="s">
        <v>69</v>
      </c>
      <c r="V3" t="s">
        <v>71</v>
      </c>
      <c r="W3" t="s">
        <v>69</v>
      </c>
      <c r="X3">
        <v>131.17500000000001</v>
      </c>
      <c r="Y3" t="s">
        <v>69</v>
      </c>
      <c r="Z3" t="s">
        <v>69</v>
      </c>
      <c r="AA3">
        <v>114</v>
      </c>
      <c r="AB3" t="s">
        <v>73</v>
      </c>
      <c r="AC3" t="s">
        <v>69</v>
      </c>
      <c r="AD3" t="s">
        <v>71</v>
      </c>
      <c r="AE3" t="s">
        <v>69</v>
      </c>
      <c r="AF3">
        <v>89.093999999999994</v>
      </c>
      <c r="AG3" t="s">
        <v>69</v>
      </c>
      <c r="AH3" t="s">
        <v>69</v>
      </c>
      <c r="AI3">
        <v>116</v>
      </c>
      <c r="AJ3" t="s">
        <v>74</v>
      </c>
      <c r="AK3" t="s">
        <v>69</v>
      </c>
      <c r="AL3" t="s">
        <v>75</v>
      </c>
      <c r="AM3" t="s">
        <v>69</v>
      </c>
      <c r="AN3">
        <v>174.203</v>
      </c>
      <c r="AO3" t="s">
        <v>69</v>
      </c>
      <c r="AP3" t="s">
        <v>69</v>
      </c>
      <c r="AQ3">
        <v>117</v>
      </c>
      <c r="AR3" t="s">
        <v>74</v>
      </c>
      <c r="AS3" t="s">
        <v>69</v>
      </c>
      <c r="AT3" t="s">
        <v>75</v>
      </c>
      <c r="AU3" t="s">
        <v>69</v>
      </c>
      <c r="AV3">
        <v>174.203</v>
      </c>
      <c r="AW3" t="s">
        <v>69</v>
      </c>
      <c r="AX3" t="s">
        <v>69</v>
      </c>
      <c r="AY3">
        <v>143</v>
      </c>
      <c r="AZ3" t="s">
        <v>74</v>
      </c>
      <c r="BA3" t="s">
        <v>69</v>
      </c>
      <c r="BB3" t="s">
        <v>75</v>
      </c>
      <c r="BC3" t="s">
        <v>69</v>
      </c>
      <c r="BD3">
        <v>174.203</v>
      </c>
      <c r="BE3" t="s">
        <v>69</v>
      </c>
      <c r="BF3" t="s">
        <v>69</v>
      </c>
      <c r="BG3">
        <v>148</v>
      </c>
      <c r="BH3" t="s">
        <v>76</v>
      </c>
      <c r="BI3" t="s">
        <v>69</v>
      </c>
      <c r="BJ3" t="s">
        <v>75</v>
      </c>
      <c r="BK3" t="s">
        <v>69</v>
      </c>
      <c r="BL3">
        <v>146.18899999999999</v>
      </c>
      <c r="BM3" t="s">
        <v>69</v>
      </c>
      <c r="BN3" t="s">
        <v>69</v>
      </c>
    </row>
    <row r="4" spans="1:66" x14ac:dyDescent="0.25">
      <c r="A4">
        <v>7</v>
      </c>
      <c r="B4" t="str">
        <f>HYPERLINK("http://www.ncbi.nlm.nih.gov/protein/XP_008018361.1","XP_008018361.1")</f>
        <v>XP_008018361.1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HYPERLINK("http://www.ncbi.nlm.nih.gov/protein/XP_008018361.1","40S ribosomal protein S3")</f>
        <v>40S ribosomal protein S3</v>
      </c>
      <c r="I4" t="s">
        <v>68</v>
      </c>
      <c r="J4" t="s">
        <v>69</v>
      </c>
      <c r="K4">
        <v>112</v>
      </c>
      <c r="L4" t="s">
        <v>70</v>
      </c>
      <c r="M4" t="s">
        <v>69</v>
      </c>
      <c r="N4" t="s">
        <v>71</v>
      </c>
      <c r="O4" t="s">
        <v>69</v>
      </c>
      <c r="P4">
        <v>75.066999999999993</v>
      </c>
      <c r="Q4" t="s">
        <v>69</v>
      </c>
      <c r="R4" t="s">
        <v>69</v>
      </c>
      <c r="S4">
        <v>113</v>
      </c>
      <c r="T4" t="s">
        <v>72</v>
      </c>
      <c r="U4" t="s">
        <v>69</v>
      </c>
      <c r="V4" t="s">
        <v>71</v>
      </c>
      <c r="W4" t="s">
        <v>69</v>
      </c>
      <c r="X4">
        <v>131.17500000000001</v>
      </c>
      <c r="Y4" t="s">
        <v>69</v>
      </c>
      <c r="Z4" t="s">
        <v>69</v>
      </c>
      <c r="AA4">
        <v>114</v>
      </c>
      <c r="AB4" t="s">
        <v>73</v>
      </c>
      <c r="AC4" t="s">
        <v>69</v>
      </c>
      <c r="AD4" t="s">
        <v>71</v>
      </c>
      <c r="AE4" t="s">
        <v>69</v>
      </c>
      <c r="AF4">
        <v>89.093999999999994</v>
      </c>
      <c r="AG4" t="s">
        <v>69</v>
      </c>
      <c r="AH4" t="s">
        <v>69</v>
      </c>
      <c r="AI4">
        <v>116</v>
      </c>
      <c r="AJ4" t="s">
        <v>74</v>
      </c>
      <c r="AK4" t="s">
        <v>69</v>
      </c>
      <c r="AL4" t="s">
        <v>75</v>
      </c>
      <c r="AM4" t="s">
        <v>69</v>
      </c>
      <c r="AN4">
        <v>174.203</v>
      </c>
      <c r="AO4" t="s">
        <v>69</v>
      </c>
      <c r="AP4" t="s">
        <v>69</v>
      </c>
      <c r="AQ4">
        <v>117</v>
      </c>
      <c r="AR4" t="s">
        <v>74</v>
      </c>
      <c r="AS4" t="s">
        <v>69</v>
      </c>
      <c r="AT4" t="s">
        <v>75</v>
      </c>
      <c r="AU4" t="s">
        <v>69</v>
      </c>
      <c r="AV4">
        <v>174.203</v>
      </c>
      <c r="AW4" t="s">
        <v>69</v>
      </c>
      <c r="AX4" t="s">
        <v>69</v>
      </c>
      <c r="AY4">
        <v>143</v>
      </c>
      <c r="AZ4" t="s">
        <v>74</v>
      </c>
      <c r="BA4" t="s">
        <v>69</v>
      </c>
      <c r="BB4" t="s">
        <v>75</v>
      </c>
      <c r="BC4" t="s">
        <v>69</v>
      </c>
      <c r="BD4">
        <v>174.203</v>
      </c>
      <c r="BE4" t="s">
        <v>69</v>
      </c>
      <c r="BF4" t="s">
        <v>69</v>
      </c>
      <c r="BG4">
        <v>148</v>
      </c>
      <c r="BH4" t="s">
        <v>76</v>
      </c>
      <c r="BI4" t="s">
        <v>69</v>
      </c>
      <c r="BJ4" t="s">
        <v>75</v>
      </c>
      <c r="BK4" t="s">
        <v>69</v>
      </c>
      <c r="BL4">
        <v>146.18899999999999</v>
      </c>
      <c r="BM4" t="s">
        <v>69</v>
      </c>
      <c r="BN4" t="s">
        <v>69</v>
      </c>
    </row>
    <row r="5" spans="1:66" x14ac:dyDescent="0.25">
      <c r="A5">
        <v>7</v>
      </c>
      <c r="B5" t="str">
        <f>HYPERLINK("http://www.ncbi.nlm.nih.gov/protein/XP_018891660.1","XP_018891660.1")</f>
        <v>XP_018891660.1</v>
      </c>
      <c r="C5">
        <v>52137</v>
      </c>
      <c r="D5" t="str">
        <f>HYPERLINK("http://www.ncbi.nlm.nih.gov/Taxonomy/Browser/wwwtax.cgi?mode=Info&amp;id=9595&amp;lvl=3&amp;lin=f&amp;keep=1&amp;srchmode=1&amp;unlock","9595")</f>
        <v>9595</v>
      </c>
      <c r="E5" t="s">
        <v>66</v>
      </c>
      <c r="F5" t="str">
        <f>HYPERLINK("http://www.ncbi.nlm.nih.gov/Taxonomy/Browser/wwwtax.cgi?mode=Info&amp;id=9595&amp;lvl=3&amp;lin=f&amp;keep=1&amp;srchmode=1&amp;unlock","Gorilla gorilla gorilla")</f>
        <v>Gorilla gorilla gorilla</v>
      </c>
      <c r="G5" t="s">
        <v>79</v>
      </c>
      <c r="H5" t="str">
        <f>HYPERLINK("http://www.ncbi.nlm.nih.gov/protein/XP_018891660.1","40S ribosomal protein S3")</f>
        <v>40S ribosomal protein S3</v>
      </c>
      <c r="I5" t="s">
        <v>68</v>
      </c>
      <c r="J5" t="s">
        <v>69</v>
      </c>
      <c r="K5">
        <v>112</v>
      </c>
      <c r="L5" t="s">
        <v>70</v>
      </c>
      <c r="M5" t="s">
        <v>69</v>
      </c>
      <c r="N5" t="s">
        <v>71</v>
      </c>
      <c r="O5" t="s">
        <v>69</v>
      </c>
      <c r="P5">
        <v>75.066999999999993</v>
      </c>
      <c r="Q5" t="s">
        <v>69</v>
      </c>
      <c r="R5" t="s">
        <v>69</v>
      </c>
      <c r="S5">
        <v>113</v>
      </c>
      <c r="T5" t="s">
        <v>72</v>
      </c>
      <c r="U5" t="s">
        <v>69</v>
      </c>
      <c r="V5" t="s">
        <v>71</v>
      </c>
      <c r="W5" t="s">
        <v>69</v>
      </c>
      <c r="X5">
        <v>131.17500000000001</v>
      </c>
      <c r="Y5" t="s">
        <v>69</v>
      </c>
      <c r="Z5" t="s">
        <v>69</v>
      </c>
      <c r="AA5">
        <v>114</v>
      </c>
      <c r="AB5" t="s">
        <v>73</v>
      </c>
      <c r="AC5" t="s">
        <v>69</v>
      </c>
      <c r="AD5" t="s">
        <v>71</v>
      </c>
      <c r="AE5" t="s">
        <v>69</v>
      </c>
      <c r="AF5">
        <v>89.093999999999994</v>
      </c>
      <c r="AG5" t="s">
        <v>69</v>
      </c>
      <c r="AH5" t="s">
        <v>69</v>
      </c>
      <c r="AI5">
        <v>116</v>
      </c>
      <c r="AJ5" t="s">
        <v>74</v>
      </c>
      <c r="AK5" t="s">
        <v>69</v>
      </c>
      <c r="AL5" t="s">
        <v>75</v>
      </c>
      <c r="AM5" t="s">
        <v>69</v>
      </c>
      <c r="AN5">
        <v>174.203</v>
      </c>
      <c r="AO5" t="s">
        <v>69</v>
      </c>
      <c r="AP5" t="s">
        <v>69</v>
      </c>
      <c r="AQ5">
        <v>117</v>
      </c>
      <c r="AR5" t="s">
        <v>74</v>
      </c>
      <c r="AS5" t="s">
        <v>69</v>
      </c>
      <c r="AT5" t="s">
        <v>75</v>
      </c>
      <c r="AU5" t="s">
        <v>69</v>
      </c>
      <c r="AV5">
        <v>174.203</v>
      </c>
      <c r="AW5" t="s">
        <v>69</v>
      </c>
      <c r="AX5" t="s">
        <v>69</v>
      </c>
      <c r="AY5">
        <v>143</v>
      </c>
      <c r="AZ5" t="s">
        <v>74</v>
      </c>
      <c r="BA5" t="s">
        <v>69</v>
      </c>
      <c r="BB5" t="s">
        <v>75</v>
      </c>
      <c r="BC5" t="s">
        <v>69</v>
      </c>
      <c r="BD5">
        <v>174.203</v>
      </c>
      <c r="BE5" t="s">
        <v>69</v>
      </c>
      <c r="BF5" t="s">
        <v>69</v>
      </c>
      <c r="BG5">
        <v>148</v>
      </c>
      <c r="BH5" t="s">
        <v>76</v>
      </c>
      <c r="BI5" t="s">
        <v>69</v>
      </c>
      <c r="BJ5" t="s">
        <v>75</v>
      </c>
      <c r="BK5" t="s">
        <v>69</v>
      </c>
      <c r="BL5">
        <v>146.18899999999999</v>
      </c>
      <c r="BM5" t="s">
        <v>69</v>
      </c>
      <c r="BN5" t="s">
        <v>69</v>
      </c>
    </row>
    <row r="6" spans="1:66" x14ac:dyDescent="0.25">
      <c r="A6">
        <v>7</v>
      </c>
      <c r="B6" t="str">
        <f>HYPERLINK("http://www.ncbi.nlm.nih.gov/protein/XP_003910477.1","XP_003910477.1")</f>
        <v>XP_003910477.1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HYPERLINK("http://www.ncbi.nlm.nih.gov/protein/XP_003910477.1","40S ribosomal protein S3")</f>
        <v>40S ribosomal protein S3</v>
      </c>
      <c r="I6" t="s">
        <v>68</v>
      </c>
      <c r="J6" t="s">
        <v>69</v>
      </c>
      <c r="K6">
        <v>112</v>
      </c>
      <c r="L6" t="s">
        <v>70</v>
      </c>
      <c r="M6" t="s">
        <v>69</v>
      </c>
      <c r="N6" t="s">
        <v>71</v>
      </c>
      <c r="O6" t="s">
        <v>69</v>
      </c>
      <c r="P6">
        <v>75.066999999999993</v>
      </c>
      <c r="Q6" t="s">
        <v>69</v>
      </c>
      <c r="R6" t="s">
        <v>69</v>
      </c>
      <c r="S6">
        <v>113</v>
      </c>
      <c r="T6" t="s">
        <v>72</v>
      </c>
      <c r="U6" t="s">
        <v>69</v>
      </c>
      <c r="V6" t="s">
        <v>71</v>
      </c>
      <c r="W6" t="s">
        <v>69</v>
      </c>
      <c r="X6">
        <v>131.17500000000001</v>
      </c>
      <c r="Y6" t="s">
        <v>69</v>
      </c>
      <c r="Z6" t="s">
        <v>69</v>
      </c>
      <c r="AA6">
        <v>114</v>
      </c>
      <c r="AB6" t="s">
        <v>73</v>
      </c>
      <c r="AC6" t="s">
        <v>69</v>
      </c>
      <c r="AD6" t="s">
        <v>71</v>
      </c>
      <c r="AE6" t="s">
        <v>69</v>
      </c>
      <c r="AF6">
        <v>89.093999999999994</v>
      </c>
      <c r="AG6" t="s">
        <v>69</v>
      </c>
      <c r="AH6" t="s">
        <v>69</v>
      </c>
      <c r="AI6">
        <v>116</v>
      </c>
      <c r="AJ6" t="s">
        <v>74</v>
      </c>
      <c r="AK6" t="s">
        <v>69</v>
      </c>
      <c r="AL6" t="s">
        <v>75</v>
      </c>
      <c r="AM6" t="s">
        <v>69</v>
      </c>
      <c r="AN6">
        <v>174.203</v>
      </c>
      <c r="AO6" t="s">
        <v>69</v>
      </c>
      <c r="AP6" t="s">
        <v>69</v>
      </c>
      <c r="AQ6">
        <v>117</v>
      </c>
      <c r="AR6" t="s">
        <v>74</v>
      </c>
      <c r="AS6" t="s">
        <v>69</v>
      </c>
      <c r="AT6" t="s">
        <v>75</v>
      </c>
      <c r="AU6" t="s">
        <v>69</v>
      </c>
      <c r="AV6">
        <v>174.203</v>
      </c>
      <c r="AW6" t="s">
        <v>69</v>
      </c>
      <c r="AX6" t="s">
        <v>69</v>
      </c>
      <c r="AY6">
        <v>143</v>
      </c>
      <c r="AZ6" t="s">
        <v>74</v>
      </c>
      <c r="BA6" t="s">
        <v>69</v>
      </c>
      <c r="BB6" t="s">
        <v>75</v>
      </c>
      <c r="BC6" t="s">
        <v>69</v>
      </c>
      <c r="BD6">
        <v>174.203</v>
      </c>
      <c r="BE6" t="s">
        <v>69</v>
      </c>
      <c r="BF6" t="s">
        <v>69</v>
      </c>
      <c r="BG6">
        <v>148</v>
      </c>
      <c r="BH6" t="s">
        <v>76</v>
      </c>
      <c r="BI6" t="s">
        <v>69</v>
      </c>
      <c r="BJ6" t="s">
        <v>75</v>
      </c>
      <c r="BK6" t="s">
        <v>69</v>
      </c>
      <c r="BL6">
        <v>146.18899999999999</v>
      </c>
      <c r="BM6" t="s">
        <v>69</v>
      </c>
      <c r="BN6" t="s">
        <v>69</v>
      </c>
    </row>
    <row r="7" spans="1:66" x14ac:dyDescent="0.25">
      <c r="A7">
        <v>7</v>
      </c>
      <c r="B7" t="str">
        <f>HYPERLINK("http://www.ncbi.nlm.nih.gov/protein/XP_020769270.1","XP_020769270.1")</f>
        <v>XP_020769270.1</v>
      </c>
      <c r="C7">
        <v>48218</v>
      </c>
      <c r="D7" t="str">
        <f>HYPERLINK("http://www.ncbi.nlm.nih.gov/Taxonomy/Browser/wwwtax.cgi?mode=Info&amp;id=9880&amp;lvl=3&amp;lin=f&amp;keep=1&amp;srchmode=1&amp;unlock","9880")</f>
        <v>9880</v>
      </c>
      <c r="E7" t="s">
        <v>66</v>
      </c>
      <c r="F7" t="str">
        <f>HYPERLINK("http://www.ncbi.nlm.nih.gov/Taxonomy/Browser/wwwtax.cgi?mode=Info&amp;id=9880&amp;lvl=3&amp;lin=f&amp;keep=1&amp;srchmode=1&amp;unlock","Odocoileus virginianus texanus")</f>
        <v>Odocoileus virginianus texanus</v>
      </c>
      <c r="G7" t="s">
        <v>81</v>
      </c>
      <c r="H7" t="str">
        <f>HYPERLINK("http://www.ncbi.nlm.nih.gov/protein/XP_020769270.1","40S ribosomal protein S3")</f>
        <v>40S ribosomal protein S3</v>
      </c>
      <c r="I7" t="s">
        <v>68</v>
      </c>
      <c r="J7" t="s">
        <v>69</v>
      </c>
      <c r="K7">
        <v>112</v>
      </c>
      <c r="L7" t="s">
        <v>70</v>
      </c>
      <c r="M7" t="s">
        <v>69</v>
      </c>
      <c r="N7" t="s">
        <v>71</v>
      </c>
      <c r="O7" t="s">
        <v>69</v>
      </c>
      <c r="P7">
        <v>75.066999999999993</v>
      </c>
      <c r="Q7" t="s">
        <v>69</v>
      </c>
      <c r="R7" t="s">
        <v>69</v>
      </c>
      <c r="S7">
        <v>113</v>
      </c>
      <c r="T7" t="s">
        <v>72</v>
      </c>
      <c r="U7" t="s">
        <v>69</v>
      </c>
      <c r="V7" t="s">
        <v>71</v>
      </c>
      <c r="W7" t="s">
        <v>69</v>
      </c>
      <c r="X7">
        <v>131.17500000000001</v>
      </c>
      <c r="Y7" t="s">
        <v>69</v>
      </c>
      <c r="Z7" t="s">
        <v>69</v>
      </c>
      <c r="AA7">
        <v>114</v>
      </c>
      <c r="AB7" t="s">
        <v>73</v>
      </c>
      <c r="AC7" t="s">
        <v>69</v>
      </c>
      <c r="AD7" t="s">
        <v>71</v>
      </c>
      <c r="AE7" t="s">
        <v>69</v>
      </c>
      <c r="AF7">
        <v>89.093999999999994</v>
      </c>
      <c r="AG7" t="s">
        <v>69</v>
      </c>
      <c r="AH7" t="s">
        <v>69</v>
      </c>
      <c r="AI7">
        <v>116</v>
      </c>
      <c r="AJ7" t="s">
        <v>74</v>
      </c>
      <c r="AK7" t="s">
        <v>69</v>
      </c>
      <c r="AL7" t="s">
        <v>75</v>
      </c>
      <c r="AM7" t="s">
        <v>69</v>
      </c>
      <c r="AN7">
        <v>174.203</v>
      </c>
      <c r="AO7" t="s">
        <v>69</v>
      </c>
      <c r="AP7" t="s">
        <v>69</v>
      </c>
      <c r="AQ7">
        <v>117</v>
      </c>
      <c r="AR7" t="s">
        <v>74</v>
      </c>
      <c r="AS7" t="s">
        <v>69</v>
      </c>
      <c r="AT7" t="s">
        <v>75</v>
      </c>
      <c r="AU7" t="s">
        <v>69</v>
      </c>
      <c r="AV7">
        <v>174.203</v>
      </c>
      <c r="AW7" t="s">
        <v>69</v>
      </c>
      <c r="AX7" t="s">
        <v>69</v>
      </c>
      <c r="AY7">
        <v>143</v>
      </c>
      <c r="AZ7" t="s">
        <v>74</v>
      </c>
      <c r="BA7" t="s">
        <v>69</v>
      </c>
      <c r="BB7" t="s">
        <v>75</v>
      </c>
      <c r="BC7" t="s">
        <v>69</v>
      </c>
      <c r="BD7">
        <v>174.203</v>
      </c>
      <c r="BE7" t="s">
        <v>69</v>
      </c>
      <c r="BF7" t="s">
        <v>69</v>
      </c>
      <c r="BG7">
        <v>148</v>
      </c>
      <c r="BH7" t="s">
        <v>76</v>
      </c>
      <c r="BI7" t="s">
        <v>69</v>
      </c>
      <c r="BJ7" t="s">
        <v>75</v>
      </c>
      <c r="BK7" t="s">
        <v>69</v>
      </c>
      <c r="BL7">
        <v>146.18899999999999</v>
      </c>
      <c r="BM7" t="s">
        <v>69</v>
      </c>
      <c r="BN7" t="s">
        <v>69</v>
      </c>
    </row>
    <row r="8" spans="1:66" x14ac:dyDescent="0.25">
      <c r="A8">
        <v>7</v>
      </c>
      <c r="B8" t="str">
        <f>HYPERLINK("http://www.ncbi.nlm.nih.gov/protein/NP_001029219.1","NP_001029219.1")</f>
        <v>NP_001029219.1</v>
      </c>
      <c r="C8">
        <v>136186</v>
      </c>
      <c r="D8" t="str">
        <f>HYPERLINK("http://www.ncbi.nlm.nih.gov/Taxonomy/Browser/wwwtax.cgi?mode=Info&amp;id=9913&amp;lvl=3&amp;lin=f&amp;keep=1&amp;srchmode=1&amp;unlock","9913")</f>
        <v>9913</v>
      </c>
      <c r="E8" t="s">
        <v>66</v>
      </c>
      <c r="F8" t="str">
        <f>HYPERLINK("http://www.ncbi.nlm.nih.gov/Taxonomy/Browser/wwwtax.cgi?mode=Info&amp;id=9913&amp;lvl=3&amp;lin=f&amp;keep=1&amp;srchmode=1&amp;unlock","Bos taurus")</f>
        <v>Bos taurus</v>
      </c>
      <c r="G8" t="s">
        <v>82</v>
      </c>
      <c r="H8" t="str">
        <f>HYPERLINK("http://www.ncbi.nlm.nih.gov/protein/NP_001029219.1","40S ribosomal protein S3")</f>
        <v>40S ribosomal protein S3</v>
      </c>
      <c r="I8" t="s">
        <v>68</v>
      </c>
      <c r="J8" t="s">
        <v>69</v>
      </c>
      <c r="K8">
        <v>112</v>
      </c>
      <c r="L8" t="s">
        <v>70</v>
      </c>
      <c r="M8" t="s">
        <v>69</v>
      </c>
      <c r="N8" t="s">
        <v>71</v>
      </c>
      <c r="O8" t="s">
        <v>69</v>
      </c>
      <c r="P8">
        <v>75.066999999999993</v>
      </c>
      <c r="Q8" t="s">
        <v>69</v>
      </c>
      <c r="R8" t="s">
        <v>69</v>
      </c>
      <c r="S8">
        <v>113</v>
      </c>
      <c r="T8" t="s">
        <v>72</v>
      </c>
      <c r="U8" t="s">
        <v>69</v>
      </c>
      <c r="V8" t="s">
        <v>71</v>
      </c>
      <c r="W8" t="s">
        <v>69</v>
      </c>
      <c r="X8">
        <v>131.17500000000001</v>
      </c>
      <c r="Y8" t="s">
        <v>69</v>
      </c>
      <c r="Z8" t="s">
        <v>69</v>
      </c>
      <c r="AA8">
        <v>114</v>
      </c>
      <c r="AB8" t="s">
        <v>73</v>
      </c>
      <c r="AC8" t="s">
        <v>69</v>
      </c>
      <c r="AD8" t="s">
        <v>71</v>
      </c>
      <c r="AE8" t="s">
        <v>69</v>
      </c>
      <c r="AF8">
        <v>89.093999999999994</v>
      </c>
      <c r="AG8" t="s">
        <v>69</v>
      </c>
      <c r="AH8" t="s">
        <v>69</v>
      </c>
      <c r="AI8">
        <v>116</v>
      </c>
      <c r="AJ8" t="s">
        <v>74</v>
      </c>
      <c r="AK8" t="s">
        <v>69</v>
      </c>
      <c r="AL8" t="s">
        <v>75</v>
      </c>
      <c r="AM8" t="s">
        <v>69</v>
      </c>
      <c r="AN8">
        <v>174.203</v>
      </c>
      <c r="AO8" t="s">
        <v>69</v>
      </c>
      <c r="AP8" t="s">
        <v>69</v>
      </c>
      <c r="AQ8">
        <v>117</v>
      </c>
      <c r="AR8" t="s">
        <v>74</v>
      </c>
      <c r="AS8" t="s">
        <v>69</v>
      </c>
      <c r="AT8" t="s">
        <v>75</v>
      </c>
      <c r="AU8" t="s">
        <v>69</v>
      </c>
      <c r="AV8">
        <v>174.203</v>
      </c>
      <c r="AW8" t="s">
        <v>69</v>
      </c>
      <c r="AX8" t="s">
        <v>69</v>
      </c>
      <c r="AY8">
        <v>143</v>
      </c>
      <c r="AZ8" t="s">
        <v>74</v>
      </c>
      <c r="BA8" t="s">
        <v>69</v>
      </c>
      <c r="BB8" t="s">
        <v>75</v>
      </c>
      <c r="BC8" t="s">
        <v>69</v>
      </c>
      <c r="BD8">
        <v>174.203</v>
      </c>
      <c r="BE8" t="s">
        <v>69</v>
      </c>
      <c r="BF8" t="s">
        <v>69</v>
      </c>
      <c r="BG8">
        <v>148</v>
      </c>
      <c r="BH8" t="s">
        <v>76</v>
      </c>
      <c r="BI8" t="s">
        <v>69</v>
      </c>
      <c r="BJ8" t="s">
        <v>75</v>
      </c>
      <c r="BK8" t="s">
        <v>69</v>
      </c>
      <c r="BL8">
        <v>146.18899999999999</v>
      </c>
      <c r="BM8" t="s">
        <v>69</v>
      </c>
      <c r="BN8" t="s">
        <v>69</v>
      </c>
    </row>
    <row r="9" spans="1:66" x14ac:dyDescent="0.25">
      <c r="A9">
        <v>7</v>
      </c>
      <c r="B9" t="str">
        <f>HYPERLINK("http://www.ncbi.nlm.nih.gov/protein/4D5L_D","4D5L_D")</f>
        <v>4D5L_D</v>
      </c>
      <c r="C9">
        <v>53150</v>
      </c>
      <c r="D9" t="str">
        <f>HYPERLINK("http://www.ncbi.nlm.nih.gov/Taxonomy/Browser/wwwtax.cgi?mode=Info&amp;id=9986&amp;lvl=3&amp;lin=f&amp;keep=1&amp;srchmode=1&amp;unlock","9986")</f>
        <v>9986</v>
      </c>
      <c r="E9" t="s">
        <v>66</v>
      </c>
      <c r="F9" t="str">
        <f>HYPERLINK("http://www.ncbi.nlm.nih.gov/Taxonomy/Browser/wwwtax.cgi?mode=Info&amp;id=9986&amp;lvl=3&amp;lin=f&amp;keep=1&amp;srchmode=1&amp;unlock","Oryctolagus cuniculus")</f>
        <v>Oryctolagus cuniculus</v>
      </c>
      <c r="G9" t="s">
        <v>83</v>
      </c>
      <c r="H9" t="str">
        <f>HYPERLINK("http://www.ncbi.nlm.nih.gov/protein/4D5L_D","Cryo-EM structures of ribosomal 80S complexes with termination factors and cricket paralysis virus IRES reveal the IRES in the translocated state")</f>
        <v>Cryo-EM structures of ribosomal 80S complexes with termination factors and cricket paralysis virus IRES reveal the IRES in the translocated state</v>
      </c>
      <c r="I9" t="s">
        <v>68</v>
      </c>
      <c r="J9" t="s">
        <v>69</v>
      </c>
      <c r="K9">
        <v>112</v>
      </c>
      <c r="L9" t="s">
        <v>70</v>
      </c>
      <c r="M9" t="s">
        <v>69</v>
      </c>
      <c r="N9" t="s">
        <v>71</v>
      </c>
      <c r="O9" t="s">
        <v>69</v>
      </c>
      <c r="P9">
        <v>75.066999999999993</v>
      </c>
      <c r="Q9" t="s">
        <v>69</v>
      </c>
      <c r="R9" t="s">
        <v>69</v>
      </c>
      <c r="S9">
        <v>113</v>
      </c>
      <c r="T9" t="s">
        <v>72</v>
      </c>
      <c r="U9" t="s">
        <v>69</v>
      </c>
      <c r="V9" t="s">
        <v>71</v>
      </c>
      <c r="W9" t="s">
        <v>69</v>
      </c>
      <c r="X9">
        <v>131.17500000000001</v>
      </c>
      <c r="Y9" t="s">
        <v>69</v>
      </c>
      <c r="Z9" t="s">
        <v>69</v>
      </c>
      <c r="AA9">
        <v>114</v>
      </c>
      <c r="AB9" t="s">
        <v>73</v>
      </c>
      <c r="AC9" t="s">
        <v>69</v>
      </c>
      <c r="AD9" t="s">
        <v>71</v>
      </c>
      <c r="AE9" t="s">
        <v>69</v>
      </c>
      <c r="AF9">
        <v>89.093999999999994</v>
      </c>
      <c r="AG9" t="s">
        <v>69</v>
      </c>
      <c r="AH9" t="s">
        <v>69</v>
      </c>
      <c r="AI9">
        <v>116</v>
      </c>
      <c r="AJ9" t="s">
        <v>74</v>
      </c>
      <c r="AK9" t="s">
        <v>69</v>
      </c>
      <c r="AL9" t="s">
        <v>75</v>
      </c>
      <c r="AM9" t="s">
        <v>69</v>
      </c>
      <c r="AN9">
        <v>174.203</v>
      </c>
      <c r="AO9" t="s">
        <v>69</v>
      </c>
      <c r="AP9" t="s">
        <v>69</v>
      </c>
      <c r="AQ9">
        <v>117</v>
      </c>
      <c r="AR9" t="s">
        <v>74</v>
      </c>
      <c r="AS9" t="s">
        <v>69</v>
      </c>
      <c r="AT9" t="s">
        <v>75</v>
      </c>
      <c r="AU9" t="s">
        <v>69</v>
      </c>
      <c r="AV9">
        <v>174.203</v>
      </c>
      <c r="AW9" t="s">
        <v>69</v>
      </c>
      <c r="AX9" t="s">
        <v>69</v>
      </c>
      <c r="AY9">
        <v>143</v>
      </c>
      <c r="AZ9" t="s">
        <v>74</v>
      </c>
      <c r="BA9" t="s">
        <v>69</v>
      </c>
      <c r="BB9" t="s">
        <v>75</v>
      </c>
      <c r="BC9" t="s">
        <v>69</v>
      </c>
      <c r="BD9">
        <v>174.203</v>
      </c>
      <c r="BE9" t="s">
        <v>69</v>
      </c>
      <c r="BF9" t="s">
        <v>69</v>
      </c>
      <c r="BG9">
        <v>148</v>
      </c>
      <c r="BH9" t="s">
        <v>76</v>
      </c>
      <c r="BI9" t="s">
        <v>69</v>
      </c>
      <c r="BJ9" t="s">
        <v>75</v>
      </c>
      <c r="BK9" t="s">
        <v>69</v>
      </c>
      <c r="BL9">
        <v>146.18899999999999</v>
      </c>
      <c r="BM9" t="s">
        <v>69</v>
      </c>
      <c r="BN9" t="s">
        <v>69</v>
      </c>
    </row>
    <row r="10" spans="1:66" x14ac:dyDescent="0.25">
      <c r="A10">
        <v>7</v>
      </c>
      <c r="B10" t="str">
        <f>HYPERLINK("http://www.ncbi.nlm.nih.gov/protein/2ZKQ_c","2ZKQ_c")</f>
        <v>2ZKQ_c</v>
      </c>
      <c r="C10">
        <v>136357</v>
      </c>
      <c r="D10" t="str">
        <f>HYPERLINK("http://www.ncbi.nlm.nih.gov/Taxonomy/Browser/wwwtax.cgi?mode=Info&amp;id=9615&amp;lvl=3&amp;lin=f&amp;keep=1&amp;srchmode=1&amp;unlock","9615")</f>
        <v>9615</v>
      </c>
      <c r="E10" t="s">
        <v>66</v>
      </c>
      <c r="F10" t="str">
        <f>HYPERLINK("http://www.ncbi.nlm.nih.gov/Taxonomy/Browser/wwwtax.cgi?mode=Info&amp;id=9615&amp;lvl=3&amp;lin=f&amp;keep=1&amp;srchmode=1&amp;unlock","Canis lupus familiaris")</f>
        <v>Canis lupus familiaris</v>
      </c>
      <c r="G10" t="s">
        <v>84</v>
      </c>
      <c r="H10" t="str">
        <f>HYPERLINK("http://www.ncbi.nlm.nih.gov/protein/2ZKQ_c","Structure of a mammalian Ribosomal 40S subunit within an 80S complex obtained by docking homology models of the RNA and proteins into an 8.7 A cryo-EM map")</f>
        <v>Structure of a mammalian Ribosomal 40S subunit within an 80S complex obtained by docking homology models of the RNA and proteins into an 8.7 A cryo-EM map</v>
      </c>
      <c r="I10" t="s">
        <v>68</v>
      </c>
      <c r="J10" t="s">
        <v>69</v>
      </c>
      <c r="K10">
        <v>112</v>
      </c>
      <c r="L10" t="s">
        <v>70</v>
      </c>
      <c r="M10" t="s">
        <v>69</v>
      </c>
      <c r="N10" t="s">
        <v>71</v>
      </c>
      <c r="O10" t="s">
        <v>69</v>
      </c>
      <c r="P10">
        <v>75.066999999999993</v>
      </c>
      <c r="Q10" t="s">
        <v>69</v>
      </c>
      <c r="R10" t="s">
        <v>69</v>
      </c>
      <c r="S10">
        <v>113</v>
      </c>
      <c r="T10" t="s">
        <v>72</v>
      </c>
      <c r="U10" t="s">
        <v>69</v>
      </c>
      <c r="V10" t="s">
        <v>71</v>
      </c>
      <c r="W10" t="s">
        <v>69</v>
      </c>
      <c r="X10">
        <v>131.17500000000001</v>
      </c>
      <c r="Y10" t="s">
        <v>69</v>
      </c>
      <c r="Z10" t="s">
        <v>69</v>
      </c>
      <c r="AA10">
        <v>114</v>
      </c>
      <c r="AB10" t="s">
        <v>73</v>
      </c>
      <c r="AC10" t="s">
        <v>69</v>
      </c>
      <c r="AD10" t="s">
        <v>71</v>
      </c>
      <c r="AE10" t="s">
        <v>69</v>
      </c>
      <c r="AF10">
        <v>89.093999999999994</v>
      </c>
      <c r="AG10" t="s">
        <v>69</v>
      </c>
      <c r="AH10" t="s">
        <v>69</v>
      </c>
      <c r="AI10">
        <v>116</v>
      </c>
      <c r="AJ10" t="s">
        <v>74</v>
      </c>
      <c r="AK10" t="s">
        <v>69</v>
      </c>
      <c r="AL10" t="s">
        <v>75</v>
      </c>
      <c r="AM10" t="s">
        <v>69</v>
      </c>
      <c r="AN10">
        <v>174.203</v>
      </c>
      <c r="AO10" t="s">
        <v>69</v>
      </c>
      <c r="AP10" t="s">
        <v>69</v>
      </c>
      <c r="AQ10">
        <v>117</v>
      </c>
      <c r="AR10" t="s">
        <v>74</v>
      </c>
      <c r="AS10" t="s">
        <v>69</v>
      </c>
      <c r="AT10" t="s">
        <v>75</v>
      </c>
      <c r="AU10" t="s">
        <v>69</v>
      </c>
      <c r="AV10">
        <v>174.203</v>
      </c>
      <c r="AW10" t="s">
        <v>69</v>
      </c>
      <c r="AX10" t="s">
        <v>69</v>
      </c>
      <c r="AY10">
        <v>143</v>
      </c>
      <c r="AZ10" t="s">
        <v>74</v>
      </c>
      <c r="BA10" t="s">
        <v>69</v>
      </c>
      <c r="BB10" t="s">
        <v>75</v>
      </c>
      <c r="BC10" t="s">
        <v>69</v>
      </c>
      <c r="BD10">
        <v>174.203</v>
      </c>
      <c r="BE10" t="s">
        <v>69</v>
      </c>
      <c r="BF10" t="s">
        <v>69</v>
      </c>
      <c r="BG10">
        <v>148</v>
      </c>
      <c r="BH10" t="s">
        <v>76</v>
      </c>
      <c r="BI10" t="s">
        <v>69</v>
      </c>
      <c r="BJ10" t="s">
        <v>75</v>
      </c>
      <c r="BK10" t="s">
        <v>69</v>
      </c>
      <c r="BL10">
        <v>146.18899999999999</v>
      </c>
      <c r="BM10" t="s">
        <v>69</v>
      </c>
      <c r="BN10" t="s">
        <v>69</v>
      </c>
    </row>
    <row r="11" spans="1:66" x14ac:dyDescent="0.25">
      <c r="A11">
        <v>7</v>
      </c>
      <c r="B11" t="str">
        <f>HYPERLINK("http://www.ncbi.nlm.nih.gov/protein/NP_001038066.1","NP_001038066.1")</f>
        <v>NP_001038066.1</v>
      </c>
      <c r="C11">
        <v>86952</v>
      </c>
      <c r="D11" t="str">
        <f>HYPERLINK("http://www.ncbi.nlm.nih.gov/Taxonomy/Browser/wwwtax.cgi?mode=Info&amp;id=9823&amp;lvl=3&amp;lin=f&amp;keep=1&amp;srchmode=1&amp;unlock","9823")</f>
        <v>9823</v>
      </c>
      <c r="E11" t="s">
        <v>66</v>
      </c>
      <c r="F11" t="str">
        <f>HYPERLINK("http://www.ncbi.nlm.nih.gov/Taxonomy/Browser/wwwtax.cgi?mode=Info&amp;id=9823&amp;lvl=3&amp;lin=f&amp;keep=1&amp;srchmode=1&amp;unlock","Sus scrofa")</f>
        <v>Sus scrofa</v>
      </c>
      <c r="G11" t="s">
        <v>85</v>
      </c>
      <c r="H11" t="str">
        <f>HYPERLINK("http://www.ncbi.nlm.nih.gov/protein/NP_001038066.1","40S ribosomal protein S3")</f>
        <v>40S ribosomal protein S3</v>
      </c>
      <c r="I11" t="s">
        <v>68</v>
      </c>
      <c r="J11" t="s">
        <v>69</v>
      </c>
      <c r="K11">
        <v>112</v>
      </c>
      <c r="L11" t="s">
        <v>70</v>
      </c>
      <c r="M11" t="s">
        <v>69</v>
      </c>
      <c r="N11" t="s">
        <v>71</v>
      </c>
      <c r="O11" t="s">
        <v>69</v>
      </c>
      <c r="P11">
        <v>75.066999999999993</v>
      </c>
      <c r="Q11" t="s">
        <v>69</v>
      </c>
      <c r="R11" t="s">
        <v>69</v>
      </c>
      <c r="S11">
        <v>113</v>
      </c>
      <c r="T11" t="s">
        <v>72</v>
      </c>
      <c r="U11" t="s">
        <v>69</v>
      </c>
      <c r="V11" t="s">
        <v>71</v>
      </c>
      <c r="W11" t="s">
        <v>69</v>
      </c>
      <c r="X11">
        <v>131.17500000000001</v>
      </c>
      <c r="Y11" t="s">
        <v>69</v>
      </c>
      <c r="Z11" t="s">
        <v>69</v>
      </c>
      <c r="AA11">
        <v>114</v>
      </c>
      <c r="AB11" t="s">
        <v>73</v>
      </c>
      <c r="AC11" t="s">
        <v>69</v>
      </c>
      <c r="AD11" t="s">
        <v>71</v>
      </c>
      <c r="AE11" t="s">
        <v>69</v>
      </c>
      <c r="AF11">
        <v>89.093999999999994</v>
      </c>
      <c r="AG11" t="s">
        <v>69</v>
      </c>
      <c r="AH11" t="s">
        <v>69</v>
      </c>
      <c r="AI11">
        <v>116</v>
      </c>
      <c r="AJ11" t="s">
        <v>74</v>
      </c>
      <c r="AK11" t="s">
        <v>69</v>
      </c>
      <c r="AL11" t="s">
        <v>75</v>
      </c>
      <c r="AM11" t="s">
        <v>69</v>
      </c>
      <c r="AN11">
        <v>174.203</v>
      </c>
      <c r="AO11" t="s">
        <v>69</v>
      </c>
      <c r="AP11" t="s">
        <v>69</v>
      </c>
      <c r="AQ11">
        <v>117</v>
      </c>
      <c r="AR11" t="s">
        <v>74</v>
      </c>
      <c r="AS11" t="s">
        <v>69</v>
      </c>
      <c r="AT11" t="s">
        <v>75</v>
      </c>
      <c r="AU11" t="s">
        <v>69</v>
      </c>
      <c r="AV11">
        <v>174.203</v>
      </c>
      <c r="AW11" t="s">
        <v>69</v>
      </c>
      <c r="AX11" t="s">
        <v>69</v>
      </c>
      <c r="AY11">
        <v>143</v>
      </c>
      <c r="AZ11" t="s">
        <v>74</v>
      </c>
      <c r="BA11" t="s">
        <v>69</v>
      </c>
      <c r="BB11" t="s">
        <v>75</v>
      </c>
      <c r="BC11" t="s">
        <v>69</v>
      </c>
      <c r="BD11">
        <v>174.203</v>
      </c>
      <c r="BE11" t="s">
        <v>69</v>
      </c>
      <c r="BF11" t="s">
        <v>69</v>
      </c>
      <c r="BG11">
        <v>148</v>
      </c>
      <c r="BH11" t="s">
        <v>76</v>
      </c>
      <c r="BI11" t="s">
        <v>69</v>
      </c>
      <c r="BJ11" t="s">
        <v>75</v>
      </c>
      <c r="BK11" t="s">
        <v>69</v>
      </c>
      <c r="BL11">
        <v>146.18899999999999</v>
      </c>
      <c r="BM11" t="s">
        <v>69</v>
      </c>
      <c r="BN11" t="s">
        <v>69</v>
      </c>
    </row>
    <row r="12" spans="1:66" x14ac:dyDescent="0.25">
      <c r="A12">
        <v>7</v>
      </c>
      <c r="B12" t="str">
        <f>HYPERLINK("http://www.ncbi.nlm.nih.gov/protein/XP_003992770.1","XP_003992770.1")</f>
        <v>XP_003992770.1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HYPERLINK("http://www.ncbi.nlm.nih.gov/protein/XP_003992770.1","40S ribosomal protein S3")</f>
        <v>40S ribosomal protein S3</v>
      </c>
      <c r="I12" t="s">
        <v>68</v>
      </c>
      <c r="J12" t="s">
        <v>69</v>
      </c>
      <c r="K12">
        <v>112</v>
      </c>
      <c r="L12" t="s">
        <v>70</v>
      </c>
      <c r="M12" t="s">
        <v>69</v>
      </c>
      <c r="N12" t="s">
        <v>71</v>
      </c>
      <c r="O12" t="s">
        <v>69</v>
      </c>
      <c r="P12">
        <v>75.066999999999993</v>
      </c>
      <c r="Q12" t="s">
        <v>69</v>
      </c>
      <c r="R12" t="s">
        <v>69</v>
      </c>
      <c r="S12">
        <v>113</v>
      </c>
      <c r="T12" t="s">
        <v>72</v>
      </c>
      <c r="U12" t="s">
        <v>69</v>
      </c>
      <c r="V12" t="s">
        <v>71</v>
      </c>
      <c r="W12" t="s">
        <v>69</v>
      </c>
      <c r="X12">
        <v>131.17500000000001</v>
      </c>
      <c r="Y12" t="s">
        <v>69</v>
      </c>
      <c r="Z12" t="s">
        <v>69</v>
      </c>
      <c r="AA12">
        <v>114</v>
      </c>
      <c r="AB12" t="s">
        <v>73</v>
      </c>
      <c r="AC12" t="s">
        <v>69</v>
      </c>
      <c r="AD12" t="s">
        <v>71</v>
      </c>
      <c r="AE12" t="s">
        <v>69</v>
      </c>
      <c r="AF12">
        <v>89.093999999999994</v>
      </c>
      <c r="AG12" t="s">
        <v>69</v>
      </c>
      <c r="AH12" t="s">
        <v>69</v>
      </c>
      <c r="AI12">
        <v>116</v>
      </c>
      <c r="AJ12" t="s">
        <v>74</v>
      </c>
      <c r="AK12" t="s">
        <v>69</v>
      </c>
      <c r="AL12" t="s">
        <v>75</v>
      </c>
      <c r="AM12" t="s">
        <v>69</v>
      </c>
      <c r="AN12">
        <v>174.203</v>
      </c>
      <c r="AO12" t="s">
        <v>69</v>
      </c>
      <c r="AP12" t="s">
        <v>69</v>
      </c>
      <c r="AQ12">
        <v>117</v>
      </c>
      <c r="AR12" t="s">
        <v>74</v>
      </c>
      <c r="AS12" t="s">
        <v>69</v>
      </c>
      <c r="AT12" t="s">
        <v>75</v>
      </c>
      <c r="AU12" t="s">
        <v>69</v>
      </c>
      <c r="AV12">
        <v>174.203</v>
      </c>
      <c r="AW12" t="s">
        <v>69</v>
      </c>
      <c r="AX12" t="s">
        <v>69</v>
      </c>
      <c r="AY12">
        <v>143</v>
      </c>
      <c r="AZ12" t="s">
        <v>74</v>
      </c>
      <c r="BA12" t="s">
        <v>69</v>
      </c>
      <c r="BB12" t="s">
        <v>75</v>
      </c>
      <c r="BC12" t="s">
        <v>69</v>
      </c>
      <c r="BD12">
        <v>174.203</v>
      </c>
      <c r="BE12" t="s">
        <v>69</v>
      </c>
      <c r="BF12" t="s">
        <v>69</v>
      </c>
      <c r="BG12">
        <v>148</v>
      </c>
      <c r="BH12" t="s">
        <v>76</v>
      </c>
      <c r="BI12" t="s">
        <v>69</v>
      </c>
      <c r="BJ12" t="s">
        <v>75</v>
      </c>
      <c r="BK12" t="s">
        <v>69</v>
      </c>
      <c r="BL12">
        <v>146.18899999999999</v>
      </c>
      <c r="BM12" t="s">
        <v>69</v>
      </c>
      <c r="BN12" t="s">
        <v>69</v>
      </c>
    </row>
    <row r="13" spans="1:66" x14ac:dyDescent="0.25">
      <c r="A13">
        <v>7</v>
      </c>
      <c r="B13" t="str">
        <f>HYPERLINK("http://www.ncbi.nlm.nih.gov/protein/XP_005074039.1","XP_005074039.1")</f>
        <v>XP_005074039.1</v>
      </c>
      <c r="C13">
        <v>54410</v>
      </c>
      <c r="D13" t="str">
        <f>HYPERLINK("http://www.ncbi.nlm.nih.gov/Taxonomy/Browser/wwwtax.cgi?mode=Info&amp;id=10036&amp;lvl=3&amp;lin=f&amp;keep=1&amp;srchmode=1&amp;unlock","10036")</f>
        <v>10036</v>
      </c>
      <c r="E13" t="s">
        <v>66</v>
      </c>
      <c r="F13" t="str">
        <f>HYPERLINK("http://www.ncbi.nlm.nih.gov/Taxonomy/Browser/wwwtax.cgi?mode=Info&amp;id=10036&amp;lvl=3&amp;lin=f&amp;keep=1&amp;srchmode=1&amp;unlock","Mesocricetus auratus")</f>
        <v>Mesocricetus auratus</v>
      </c>
      <c r="G13" t="s">
        <v>87</v>
      </c>
      <c r="H13" t="str">
        <f>HYPERLINK("http://www.ncbi.nlm.nih.gov/protein/XP_005074039.1","40S ribosomal protein S3")</f>
        <v>40S ribosomal protein S3</v>
      </c>
      <c r="I13" t="s">
        <v>68</v>
      </c>
      <c r="J13" t="s">
        <v>69</v>
      </c>
      <c r="K13">
        <v>112</v>
      </c>
      <c r="L13" t="s">
        <v>70</v>
      </c>
      <c r="M13" t="s">
        <v>69</v>
      </c>
      <c r="N13" t="s">
        <v>71</v>
      </c>
      <c r="O13" t="s">
        <v>69</v>
      </c>
      <c r="P13">
        <v>75.066999999999993</v>
      </c>
      <c r="Q13" t="s">
        <v>69</v>
      </c>
      <c r="R13" t="s">
        <v>69</v>
      </c>
      <c r="S13">
        <v>113</v>
      </c>
      <c r="T13" t="s">
        <v>72</v>
      </c>
      <c r="U13" t="s">
        <v>69</v>
      </c>
      <c r="V13" t="s">
        <v>71</v>
      </c>
      <c r="W13" t="s">
        <v>69</v>
      </c>
      <c r="X13">
        <v>131.17500000000001</v>
      </c>
      <c r="Y13" t="s">
        <v>69</v>
      </c>
      <c r="Z13" t="s">
        <v>69</v>
      </c>
      <c r="AA13">
        <v>114</v>
      </c>
      <c r="AB13" t="s">
        <v>73</v>
      </c>
      <c r="AC13" t="s">
        <v>69</v>
      </c>
      <c r="AD13" t="s">
        <v>71</v>
      </c>
      <c r="AE13" t="s">
        <v>69</v>
      </c>
      <c r="AF13">
        <v>89.093999999999994</v>
      </c>
      <c r="AG13" t="s">
        <v>69</v>
      </c>
      <c r="AH13" t="s">
        <v>69</v>
      </c>
      <c r="AI13">
        <v>116</v>
      </c>
      <c r="AJ13" t="s">
        <v>74</v>
      </c>
      <c r="AK13" t="s">
        <v>69</v>
      </c>
      <c r="AL13" t="s">
        <v>75</v>
      </c>
      <c r="AM13" t="s">
        <v>69</v>
      </c>
      <c r="AN13">
        <v>174.203</v>
      </c>
      <c r="AO13" t="s">
        <v>69</v>
      </c>
      <c r="AP13" t="s">
        <v>69</v>
      </c>
      <c r="AQ13">
        <v>117</v>
      </c>
      <c r="AR13" t="s">
        <v>74</v>
      </c>
      <c r="AS13" t="s">
        <v>69</v>
      </c>
      <c r="AT13" t="s">
        <v>75</v>
      </c>
      <c r="AU13" t="s">
        <v>69</v>
      </c>
      <c r="AV13">
        <v>174.203</v>
      </c>
      <c r="AW13" t="s">
        <v>69</v>
      </c>
      <c r="AX13" t="s">
        <v>69</v>
      </c>
      <c r="AY13">
        <v>143</v>
      </c>
      <c r="AZ13" t="s">
        <v>74</v>
      </c>
      <c r="BA13" t="s">
        <v>69</v>
      </c>
      <c r="BB13" t="s">
        <v>75</v>
      </c>
      <c r="BC13" t="s">
        <v>69</v>
      </c>
      <c r="BD13">
        <v>174.203</v>
      </c>
      <c r="BE13" t="s">
        <v>69</v>
      </c>
      <c r="BF13" t="s">
        <v>69</v>
      </c>
      <c r="BG13">
        <v>148</v>
      </c>
      <c r="BH13" t="s">
        <v>76</v>
      </c>
      <c r="BI13" t="s">
        <v>69</v>
      </c>
      <c r="BJ13" t="s">
        <v>75</v>
      </c>
      <c r="BK13" t="s">
        <v>69</v>
      </c>
      <c r="BL13">
        <v>146.18899999999999</v>
      </c>
      <c r="BM13" t="s">
        <v>69</v>
      </c>
      <c r="BN13" t="s">
        <v>69</v>
      </c>
    </row>
    <row r="14" spans="1:66" x14ac:dyDescent="0.25">
      <c r="A14">
        <v>7</v>
      </c>
      <c r="B14" t="str">
        <f>HYPERLINK("http://www.ncbi.nlm.nih.gov/protein/XP_006982221.1","XP_006982221.1")</f>
        <v>XP_006982221.1</v>
      </c>
      <c r="C14">
        <v>54287</v>
      </c>
      <c r="D14" t="str">
        <f>HYPERLINK("http://www.ncbi.nlm.nih.gov/Taxonomy/Browser/wwwtax.cgi?mode=Info&amp;id=230844&amp;lvl=3&amp;lin=f&amp;keep=1&amp;srchmode=1&amp;unlock","230844")</f>
        <v>230844</v>
      </c>
      <c r="E14" t="s">
        <v>66</v>
      </c>
      <c r="F14" t="str">
        <f>HYPERLINK("http://www.ncbi.nlm.nih.gov/Taxonomy/Browser/wwwtax.cgi?mode=Info&amp;id=230844&amp;lvl=3&amp;lin=f&amp;keep=1&amp;srchmode=1&amp;unlock","Peromyscus maniculatus bairdii")</f>
        <v>Peromyscus maniculatus bairdii</v>
      </c>
      <c r="G14" t="s">
        <v>88</v>
      </c>
      <c r="H14" t="str">
        <f>HYPERLINK("http://www.ncbi.nlm.nih.gov/protein/XP_006982221.1","40S ribosomal protein S3")</f>
        <v>40S ribosomal protein S3</v>
      </c>
      <c r="I14" t="s">
        <v>68</v>
      </c>
      <c r="J14" t="s">
        <v>69</v>
      </c>
      <c r="K14">
        <v>112</v>
      </c>
      <c r="L14" t="s">
        <v>70</v>
      </c>
      <c r="M14" t="s">
        <v>69</v>
      </c>
      <c r="N14" t="s">
        <v>71</v>
      </c>
      <c r="O14" t="s">
        <v>69</v>
      </c>
      <c r="P14">
        <v>75.066999999999993</v>
      </c>
      <c r="Q14" t="s">
        <v>69</v>
      </c>
      <c r="R14" t="s">
        <v>69</v>
      </c>
      <c r="S14">
        <v>113</v>
      </c>
      <c r="T14" t="s">
        <v>72</v>
      </c>
      <c r="U14" t="s">
        <v>69</v>
      </c>
      <c r="V14" t="s">
        <v>71</v>
      </c>
      <c r="W14" t="s">
        <v>69</v>
      </c>
      <c r="X14">
        <v>131.17500000000001</v>
      </c>
      <c r="Y14" t="s">
        <v>69</v>
      </c>
      <c r="Z14" t="s">
        <v>69</v>
      </c>
      <c r="AA14">
        <v>114</v>
      </c>
      <c r="AB14" t="s">
        <v>73</v>
      </c>
      <c r="AC14" t="s">
        <v>69</v>
      </c>
      <c r="AD14" t="s">
        <v>71</v>
      </c>
      <c r="AE14" t="s">
        <v>69</v>
      </c>
      <c r="AF14">
        <v>89.093999999999994</v>
      </c>
      <c r="AG14" t="s">
        <v>69</v>
      </c>
      <c r="AH14" t="s">
        <v>69</v>
      </c>
      <c r="AI14">
        <v>116</v>
      </c>
      <c r="AJ14" t="s">
        <v>74</v>
      </c>
      <c r="AK14" t="s">
        <v>69</v>
      </c>
      <c r="AL14" t="s">
        <v>75</v>
      </c>
      <c r="AM14" t="s">
        <v>69</v>
      </c>
      <c r="AN14">
        <v>174.203</v>
      </c>
      <c r="AO14" t="s">
        <v>69</v>
      </c>
      <c r="AP14" t="s">
        <v>69</v>
      </c>
      <c r="AQ14">
        <v>117</v>
      </c>
      <c r="AR14" t="s">
        <v>74</v>
      </c>
      <c r="AS14" t="s">
        <v>69</v>
      </c>
      <c r="AT14" t="s">
        <v>75</v>
      </c>
      <c r="AU14" t="s">
        <v>69</v>
      </c>
      <c r="AV14">
        <v>174.203</v>
      </c>
      <c r="AW14" t="s">
        <v>69</v>
      </c>
      <c r="AX14" t="s">
        <v>69</v>
      </c>
      <c r="AY14">
        <v>143</v>
      </c>
      <c r="AZ14" t="s">
        <v>74</v>
      </c>
      <c r="BA14" t="s">
        <v>69</v>
      </c>
      <c r="BB14" t="s">
        <v>75</v>
      </c>
      <c r="BC14" t="s">
        <v>69</v>
      </c>
      <c r="BD14">
        <v>174.203</v>
      </c>
      <c r="BE14" t="s">
        <v>69</v>
      </c>
      <c r="BF14" t="s">
        <v>69</v>
      </c>
      <c r="BG14">
        <v>148</v>
      </c>
      <c r="BH14" t="s">
        <v>76</v>
      </c>
      <c r="BI14" t="s">
        <v>69</v>
      </c>
      <c r="BJ14" t="s">
        <v>75</v>
      </c>
      <c r="BK14" t="s">
        <v>69</v>
      </c>
      <c r="BL14">
        <v>146.18899999999999</v>
      </c>
      <c r="BM14" t="s">
        <v>69</v>
      </c>
      <c r="BN14" t="s">
        <v>69</v>
      </c>
    </row>
    <row r="15" spans="1:66" x14ac:dyDescent="0.25">
      <c r="A15">
        <v>7</v>
      </c>
      <c r="B15" t="str">
        <f>HYPERLINK("http://www.ncbi.nlm.nih.gov/protein/XP_007080886.1","XP_007080886.1")</f>
        <v>XP_007080886.1</v>
      </c>
      <c r="C15">
        <v>56089</v>
      </c>
      <c r="D15" t="str">
        <f>HYPERLINK("http://www.ncbi.nlm.nih.gov/Taxonomy/Browser/wwwtax.cgi?mode=Info&amp;id=9694&amp;lvl=3&amp;lin=f&amp;keep=1&amp;srchmode=1&amp;unlock","9694")</f>
        <v>9694</v>
      </c>
      <c r="E15" t="s">
        <v>66</v>
      </c>
      <c r="F15" t="str">
        <f>HYPERLINK("http://www.ncbi.nlm.nih.gov/Taxonomy/Browser/wwwtax.cgi?mode=Info&amp;id=9694&amp;lvl=3&amp;lin=f&amp;keep=1&amp;srchmode=1&amp;unlock","Panthera tigris")</f>
        <v>Panthera tigris</v>
      </c>
      <c r="G15" t="s">
        <v>89</v>
      </c>
      <c r="H15" t="str">
        <f>HYPERLINK("http://www.ncbi.nlm.nih.gov/protein/XP_007080886.1","40S ribosomal protein S3")</f>
        <v>40S ribosomal protein S3</v>
      </c>
      <c r="I15" t="s">
        <v>68</v>
      </c>
      <c r="J15" t="s">
        <v>69</v>
      </c>
      <c r="K15">
        <v>112</v>
      </c>
      <c r="L15" t="s">
        <v>70</v>
      </c>
      <c r="M15" t="s">
        <v>69</v>
      </c>
      <c r="N15" t="s">
        <v>71</v>
      </c>
      <c r="O15" t="s">
        <v>69</v>
      </c>
      <c r="P15">
        <v>75.066999999999993</v>
      </c>
      <c r="Q15" t="s">
        <v>69</v>
      </c>
      <c r="R15" t="s">
        <v>69</v>
      </c>
      <c r="S15">
        <v>113</v>
      </c>
      <c r="T15" t="s">
        <v>72</v>
      </c>
      <c r="U15" t="s">
        <v>69</v>
      </c>
      <c r="V15" t="s">
        <v>71</v>
      </c>
      <c r="W15" t="s">
        <v>69</v>
      </c>
      <c r="X15">
        <v>131.17500000000001</v>
      </c>
      <c r="Y15" t="s">
        <v>69</v>
      </c>
      <c r="Z15" t="s">
        <v>69</v>
      </c>
      <c r="AA15">
        <v>114</v>
      </c>
      <c r="AB15" t="s">
        <v>73</v>
      </c>
      <c r="AC15" t="s">
        <v>69</v>
      </c>
      <c r="AD15" t="s">
        <v>71</v>
      </c>
      <c r="AE15" t="s">
        <v>69</v>
      </c>
      <c r="AF15">
        <v>89.093999999999994</v>
      </c>
      <c r="AG15" t="s">
        <v>69</v>
      </c>
      <c r="AH15" t="s">
        <v>69</v>
      </c>
      <c r="AI15">
        <v>116</v>
      </c>
      <c r="AJ15" t="s">
        <v>74</v>
      </c>
      <c r="AK15" t="s">
        <v>69</v>
      </c>
      <c r="AL15" t="s">
        <v>75</v>
      </c>
      <c r="AM15" t="s">
        <v>69</v>
      </c>
      <c r="AN15">
        <v>174.203</v>
      </c>
      <c r="AO15" t="s">
        <v>69</v>
      </c>
      <c r="AP15" t="s">
        <v>69</v>
      </c>
      <c r="AQ15">
        <v>117</v>
      </c>
      <c r="AR15" t="s">
        <v>74</v>
      </c>
      <c r="AS15" t="s">
        <v>69</v>
      </c>
      <c r="AT15" t="s">
        <v>75</v>
      </c>
      <c r="AU15" t="s">
        <v>69</v>
      </c>
      <c r="AV15">
        <v>174.203</v>
      </c>
      <c r="AW15" t="s">
        <v>69</v>
      </c>
      <c r="AX15" t="s">
        <v>69</v>
      </c>
      <c r="AY15">
        <v>143</v>
      </c>
      <c r="AZ15" t="s">
        <v>74</v>
      </c>
      <c r="BA15" t="s">
        <v>69</v>
      </c>
      <c r="BB15" t="s">
        <v>75</v>
      </c>
      <c r="BC15" t="s">
        <v>69</v>
      </c>
      <c r="BD15">
        <v>174.203</v>
      </c>
      <c r="BE15" t="s">
        <v>69</v>
      </c>
      <c r="BF15" t="s">
        <v>69</v>
      </c>
      <c r="BG15">
        <v>148</v>
      </c>
      <c r="BH15" t="s">
        <v>76</v>
      </c>
      <c r="BI15" t="s">
        <v>69</v>
      </c>
      <c r="BJ15" t="s">
        <v>75</v>
      </c>
      <c r="BK15" t="s">
        <v>69</v>
      </c>
      <c r="BL15">
        <v>146.18899999999999</v>
      </c>
      <c r="BM15" t="s">
        <v>69</v>
      </c>
      <c r="BN15" t="s">
        <v>69</v>
      </c>
    </row>
    <row r="16" spans="1:66" x14ac:dyDescent="0.25">
      <c r="A16">
        <v>7</v>
      </c>
      <c r="B16" t="str">
        <f>HYPERLINK("http://www.ncbi.nlm.nih.gov/protein/XP_042761374.1","XP_042761374.1")</f>
        <v>XP_042761374.1</v>
      </c>
      <c r="C16">
        <v>53677</v>
      </c>
      <c r="D16" t="str">
        <f>HYPERLINK("http://www.ncbi.nlm.nih.gov/Taxonomy/Browser/wwwtax.cgi?mode=Info&amp;id=9689&amp;lvl=3&amp;lin=f&amp;keep=1&amp;srchmode=1&amp;unlock","9689")</f>
        <v>9689</v>
      </c>
      <c r="E16" t="s">
        <v>66</v>
      </c>
      <c r="F16" t="str">
        <f>HYPERLINK("http://www.ncbi.nlm.nih.gov/Taxonomy/Browser/wwwtax.cgi?mode=Info&amp;id=9689&amp;lvl=3&amp;lin=f&amp;keep=1&amp;srchmode=1&amp;unlock","Panthera leo")</f>
        <v>Panthera leo</v>
      </c>
      <c r="G16" t="s">
        <v>90</v>
      </c>
      <c r="H16" t="str">
        <f>HYPERLINK("http://www.ncbi.nlm.nih.gov/protein/XP_042761374.1","40S ribosomal protein S3")</f>
        <v>40S ribosomal protein S3</v>
      </c>
      <c r="I16" t="s">
        <v>68</v>
      </c>
      <c r="J16" t="s">
        <v>69</v>
      </c>
      <c r="K16">
        <v>112</v>
      </c>
      <c r="L16" t="s">
        <v>70</v>
      </c>
      <c r="M16" t="s">
        <v>69</v>
      </c>
      <c r="N16" t="s">
        <v>71</v>
      </c>
      <c r="O16" t="s">
        <v>69</v>
      </c>
      <c r="P16">
        <v>75.066999999999993</v>
      </c>
      <c r="Q16" t="s">
        <v>69</v>
      </c>
      <c r="R16" t="s">
        <v>69</v>
      </c>
      <c r="S16">
        <v>113</v>
      </c>
      <c r="T16" t="s">
        <v>72</v>
      </c>
      <c r="U16" t="s">
        <v>69</v>
      </c>
      <c r="V16" t="s">
        <v>71</v>
      </c>
      <c r="W16" t="s">
        <v>69</v>
      </c>
      <c r="X16">
        <v>131.17500000000001</v>
      </c>
      <c r="Y16" t="s">
        <v>69</v>
      </c>
      <c r="Z16" t="s">
        <v>69</v>
      </c>
      <c r="AA16">
        <v>114</v>
      </c>
      <c r="AB16" t="s">
        <v>73</v>
      </c>
      <c r="AC16" t="s">
        <v>69</v>
      </c>
      <c r="AD16" t="s">
        <v>71</v>
      </c>
      <c r="AE16" t="s">
        <v>69</v>
      </c>
      <c r="AF16">
        <v>89.093999999999994</v>
      </c>
      <c r="AG16" t="s">
        <v>69</v>
      </c>
      <c r="AH16" t="s">
        <v>69</v>
      </c>
      <c r="AI16">
        <v>116</v>
      </c>
      <c r="AJ16" t="s">
        <v>74</v>
      </c>
      <c r="AK16" t="s">
        <v>69</v>
      </c>
      <c r="AL16" t="s">
        <v>75</v>
      </c>
      <c r="AM16" t="s">
        <v>69</v>
      </c>
      <c r="AN16">
        <v>174.203</v>
      </c>
      <c r="AO16" t="s">
        <v>69</v>
      </c>
      <c r="AP16" t="s">
        <v>69</v>
      </c>
      <c r="AQ16">
        <v>117</v>
      </c>
      <c r="AR16" t="s">
        <v>74</v>
      </c>
      <c r="AS16" t="s">
        <v>69</v>
      </c>
      <c r="AT16" t="s">
        <v>75</v>
      </c>
      <c r="AU16" t="s">
        <v>69</v>
      </c>
      <c r="AV16">
        <v>174.203</v>
      </c>
      <c r="AW16" t="s">
        <v>69</v>
      </c>
      <c r="AX16" t="s">
        <v>69</v>
      </c>
      <c r="AY16">
        <v>143</v>
      </c>
      <c r="AZ16" t="s">
        <v>74</v>
      </c>
      <c r="BA16" t="s">
        <v>69</v>
      </c>
      <c r="BB16" t="s">
        <v>75</v>
      </c>
      <c r="BC16" t="s">
        <v>69</v>
      </c>
      <c r="BD16">
        <v>174.203</v>
      </c>
      <c r="BE16" t="s">
        <v>69</v>
      </c>
      <c r="BF16" t="s">
        <v>69</v>
      </c>
      <c r="BG16">
        <v>148</v>
      </c>
      <c r="BH16" t="s">
        <v>76</v>
      </c>
      <c r="BI16" t="s">
        <v>69</v>
      </c>
      <c r="BJ16" t="s">
        <v>75</v>
      </c>
      <c r="BK16" t="s">
        <v>69</v>
      </c>
      <c r="BL16">
        <v>146.18899999999999</v>
      </c>
      <c r="BM16" t="s">
        <v>69</v>
      </c>
      <c r="BN16" t="s">
        <v>69</v>
      </c>
    </row>
    <row r="17" spans="1:66" x14ac:dyDescent="0.25">
      <c r="A17">
        <v>7</v>
      </c>
      <c r="B17" t="str">
        <f>HYPERLINK("http://www.ncbi.nlm.nih.gov/protein/XP_025784228.1","XP_025784228.1")</f>
        <v>XP_025784228.1</v>
      </c>
      <c r="C17">
        <v>23623</v>
      </c>
      <c r="D17" t="str">
        <f>HYPERLINK("http://www.ncbi.nlm.nih.gov/Taxonomy/Browser/wwwtax.cgi?mode=Info&amp;id=9696&amp;lvl=3&amp;lin=f&amp;keep=1&amp;srchmode=1&amp;unlock","9696")</f>
        <v>9696</v>
      </c>
      <c r="E17" t="s">
        <v>66</v>
      </c>
      <c r="F17" t="str">
        <f>HYPERLINK("http://www.ncbi.nlm.nih.gov/Taxonomy/Browser/wwwtax.cgi?mode=Info&amp;id=9696&amp;lvl=3&amp;lin=f&amp;keep=1&amp;srchmode=1&amp;unlock","Puma concolor")</f>
        <v>Puma concolor</v>
      </c>
      <c r="G17" t="s">
        <v>91</v>
      </c>
      <c r="H17" t="str">
        <f>HYPERLINK("http://www.ncbi.nlm.nih.gov/protein/XP_025784228.1","40S ribosomal protein S3")</f>
        <v>40S ribosomal protein S3</v>
      </c>
      <c r="I17" t="s">
        <v>68</v>
      </c>
      <c r="J17" t="s">
        <v>69</v>
      </c>
      <c r="K17">
        <v>112</v>
      </c>
      <c r="L17" t="s">
        <v>70</v>
      </c>
      <c r="M17" t="s">
        <v>69</v>
      </c>
      <c r="N17" t="s">
        <v>71</v>
      </c>
      <c r="O17" t="s">
        <v>69</v>
      </c>
      <c r="P17">
        <v>75.066999999999993</v>
      </c>
      <c r="Q17" t="s">
        <v>69</v>
      </c>
      <c r="R17" t="s">
        <v>69</v>
      </c>
      <c r="S17">
        <v>113</v>
      </c>
      <c r="T17" t="s">
        <v>72</v>
      </c>
      <c r="U17" t="s">
        <v>69</v>
      </c>
      <c r="V17" t="s">
        <v>71</v>
      </c>
      <c r="W17" t="s">
        <v>69</v>
      </c>
      <c r="X17">
        <v>131.17500000000001</v>
      </c>
      <c r="Y17" t="s">
        <v>69</v>
      </c>
      <c r="Z17" t="s">
        <v>69</v>
      </c>
      <c r="AA17">
        <v>114</v>
      </c>
      <c r="AB17" t="s">
        <v>73</v>
      </c>
      <c r="AC17" t="s">
        <v>69</v>
      </c>
      <c r="AD17" t="s">
        <v>71</v>
      </c>
      <c r="AE17" t="s">
        <v>69</v>
      </c>
      <c r="AF17">
        <v>89.093999999999994</v>
      </c>
      <c r="AG17" t="s">
        <v>69</v>
      </c>
      <c r="AH17" t="s">
        <v>69</v>
      </c>
      <c r="AI17">
        <v>116</v>
      </c>
      <c r="AJ17" t="s">
        <v>74</v>
      </c>
      <c r="AK17" t="s">
        <v>69</v>
      </c>
      <c r="AL17" t="s">
        <v>75</v>
      </c>
      <c r="AM17" t="s">
        <v>69</v>
      </c>
      <c r="AN17">
        <v>174.203</v>
      </c>
      <c r="AO17" t="s">
        <v>69</v>
      </c>
      <c r="AP17" t="s">
        <v>69</v>
      </c>
      <c r="AQ17">
        <v>117</v>
      </c>
      <c r="AR17" t="s">
        <v>74</v>
      </c>
      <c r="AS17" t="s">
        <v>69</v>
      </c>
      <c r="AT17" t="s">
        <v>75</v>
      </c>
      <c r="AU17" t="s">
        <v>69</v>
      </c>
      <c r="AV17">
        <v>174.203</v>
      </c>
      <c r="AW17" t="s">
        <v>69</v>
      </c>
      <c r="AX17" t="s">
        <v>69</v>
      </c>
      <c r="AY17">
        <v>143</v>
      </c>
      <c r="AZ17" t="s">
        <v>74</v>
      </c>
      <c r="BA17" t="s">
        <v>69</v>
      </c>
      <c r="BB17" t="s">
        <v>75</v>
      </c>
      <c r="BC17" t="s">
        <v>69</v>
      </c>
      <c r="BD17">
        <v>174.203</v>
      </c>
      <c r="BE17" t="s">
        <v>69</v>
      </c>
      <c r="BF17" t="s">
        <v>69</v>
      </c>
      <c r="BG17">
        <v>148</v>
      </c>
      <c r="BH17" t="s">
        <v>76</v>
      </c>
      <c r="BI17" t="s">
        <v>69</v>
      </c>
      <c r="BJ17" t="s">
        <v>75</v>
      </c>
      <c r="BK17" t="s">
        <v>69</v>
      </c>
      <c r="BL17">
        <v>146.18899999999999</v>
      </c>
      <c r="BM17" t="s">
        <v>69</v>
      </c>
      <c r="BN17" t="s">
        <v>69</v>
      </c>
    </row>
    <row r="18" spans="1:66" x14ac:dyDescent="0.25">
      <c r="A18">
        <v>7</v>
      </c>
      <c r="B18" t="str">
        <f>HYPERLINK("http://www.ncbi.nlm.nih.gov/protein/CAD7673017.1","CAD7673017.1")</f>
        <v>CAD7673017.1</v>
      </c>
      <c r="C18">
        <v>27271</v>
      </c>
      <c r="D18" t="str">
        <f>HYPERLINK("http://www.ncbi.nlm.nih.gov/Taxonomy/Browser/wwwtax.cgi?mode=Info&amp;id=34880&amp;lvl=3&amp;lin=f&amp;keep=1&amp;srchmode=1&amp;unlock","34880")</f>
        <v>34880</v>
      </c>
      <c r="E18" t="s">
        <v>66</v>
      </c>
      <c r="F18" t="str">
        <f>HYPERLINK("http://www.ncbi.nlm.nih.gov/Taxonomy/Browser/wwwtax.cgi?mode=Info&amp;id=34880&amp;lvl=3&amp;lin=f&amp;keep=1&amp;srchmode=1&amp;unlock","Nyctereutes procyonoides")</f>
        <v>Nyctereutes procyonoides</v>
      </c>
      <c r="G18" t="s">
        <v>92</v>
      </c>
      <c r="H18" t="str">
        <f>HYPERLINK("http://www.ncbi.nlm.nih.gov/protein/CAD7673017.1","unnamed protein product")</f>
        <v>unnamed protein product</v>
      </c>
      <c r="I18" t="s">
        <v>68</v>
      </c>
      <c r="J18" t="s">
        <v>69</v>
      </c>
      <c r="K18">
        <v>112</v>
      </c>
      <c r="L18" t="s">
        <v>70</v>
      </c>
      <c r="M18" t="s">
        <v>69</v>
      </c>
      <c r="N18" t="s">
        <v>71</v>
      </c>
      <c r="O18" t="s">
        <v>69</v>
      </c>
      <c r="P18">
        <v>75.066999999999993</v>
      </c>
      <c r="Q18" t="s">
        <v>69</v>
      </c>
      <c r="R18" t="s">
        <v>69</v>
      </c>
      <c r="S18">
        <v>113</v>
      </c>
      <c r="T18" t="s">
        <v>72</v>
      </c>
      <c r="U18" t="s">
        <v>69</v>
      </c>
      <c r="V18" t="s">
        <v>71</v>
      </c>
      <c r="W18" t="s">
        <v>69</v>
      </c>
      <c r="X18">
        <v>131.17500000000001</v>
      </c>
      <c r="Y18" t="s">
        <v>69</v>
      </c>
      <c r="Z18" t="s">
        <v>69</v>
      </c>
      <c r="AA18">
        <v>114</v>
      </c>
      <c r="AB18" t="s">
        <v>73</v>
      </c>
      <c r="AC18" t="s">
        <v>69</v>
      </c>
      <c r="AD18" t="s">
        <v>71</v>
      </c>
      <c r="AE18" t="s">
        <v>69</v>
      </c>
      <c r="AF18">
        <v>89.093999999999994</v>
      </c>
      <c r="AG18" t="s">
        <v>69</v>
      </c>
      <c r="AH18" t="s">
        <v>69</v>
      </c>
      <c r="AI18">
        <v>116</v>
      </c>
      <c r="AJ18" t="s">
        <v>74</v>
      </c>
      <c r="AK18" t="s">
        <v>69</v>
      </c>
      <c r="AL18" t="s">
        <v>75</v>
      </c>
      <c r="AM18" t="s">
        <v>69</v>
      </c>
      <c r="AN18">
        <v>174.203</v>
      </c>
      <c r="AO18" t="s">
        <v>69</v>
      </c>
      <c r="AP18" t="s">
        <v>69</v>
      </c>
      <c r="AQ18">
        <v>117</v>
      </c>
      <c r="AR18" t="s">
        <v>74</v>
      </c>
      <c r="AS18" t="s">
        <v>69</v>
      </c>
      <c r="AT18" t="s">
        <v>75</v>
      </c>
      <c r="AU18" t="s">
        <v>69</v>
      </c>
      <c r="AV18">
        <v>174.203</v>
      </c>
      <c r="AW18" t="s">
        <v>69</v>
      </c>
      <c r="AX18" t="s">
        <v>69</v>
      </c>
      <c r="AY18">
        <v>143</v>
      </c>
      <c r="AZ18" t="s">
        <v>74</v>
      </c>
      <c r="BA18" t="s">
        <v>69</v>
      </c>
      <c r="BB18" t="s">
        <v>75</v>
      </c>
      <c r="BC18" t="s">
        <v>69</v>
      </c>
      <c r="BD18">
        <v>174.203</v>
      </c>
      <c r="BE18" t="s">
        <v>69</v>
      </c>
      <c r="BF18" t="s">
        <v>69</v>
      </c>
      <c r="BG18">
        <v>148</v>
      </c>
      <c r="BH18" t="s">
        <v>76</v>
      </c>
      <c r="BI18" t="s">
        <v>69</v>
      </c>
      <c r="BJ18" t="s">
        <v>75</v>
      </c>
      <c r="BK18" t="s">
        <v>69</v>
      </c>
      <c r="BL18">
        <v>146.18899999999999</v>
      </c>
      <c r="BM18" t="s">
        <v>69</v>
      </c>
      <c r="BN18" t="s">
        <v>69</v>
      </c>
    </row>
    <row r="19" spans="1:66" x14ac:dyDescent="0.25">
      <c r="A19">
        <v>7</v>
      </c>
      <c r="B19" t="str">
        <f>HYPERLINK("http://www.ncbi.nlm.nih.gov/protein/XP_046926861.1","XP_046926861.1")</f>
        <v>XP_046926861.1</v>
      </c>
      <c r="C19">
        <v>38764</v>
      </c>
      <c r="D19" t="str">
        <f>HYPERLINK("http://www.ncbi.nlm.nih.gov/Taxonomy/Browser/wwwtax.cgi?mode=Info&amp;id=61384&amp;lvl=3&amp;lin=f&amp;keep=1&amp;srchmode=1&amp;unlock","61384")</f>
        <v>61384</v>
      </c>
      <c r="E19" t="s">
        <v>66</v>
      </c>
      <c r="F19" t="str">
        <f>HYPERLINK("http://www.ncbi.nlm.nih.gov/Taxonomy/Browser/wwwtax.cgi?mode=Info&amp;id=61384&amp;lvl=3&amp;lin=f&amp;keep=1&amp;srchmode=1&amp;unlock","Lynx rufus")</f>
        <v>Lynx rufus</v>
      </c>
      <c r="G19" t="s">
        <v>93</v>
      </c>
      <c r="H19" t="str">
        <f>HYPERLINK("http://www.ncbi.nlm.nih.gov/protein/XP_046926861.1","40S ribosomal protein S3")</f>
        <v>40S ribosomal protein S3</v>
      </c>
      <c r="I19" t="s">
        <v>68</v>
      </c>
      <c r="J19" t="s">
        <v>69</v>
      </c>
      <c r="K19">
        <v>112</v>
      </c>
      <c r="L19" t="s">
        <v>70</v>
      </c>
      <c r="M19" t="s">
        <v>69</v>
      </c>
      <c r="N19" t="s">
        <v>71</v>
      </c>
      <c r="O19" t="s">
        <v>69</v>
      </c>
      <c r="P19">
        <v>75.066999999999993</v>
      </c>
      <c r="Q19" t="s">
        <v>69</v>
      </c>
      <c r="R19" t="s">
        <v>69</v>
      </c>
      <c r="S19">
        <v>113</v>
      </c>
      <c r="T19" t="s">
        <v>72</v>
      </c>
      <c r="U19" t="s">
        <v>69</v>
      </c>
      <c r="V19" t="s">
        <v>71</v>
      </c>
      <c r="W19" t="s">
        <v>69</v>
      </c>
      <c r="X19">
        <v>131.17500000000001</v>
      </c>
      <c r="Y19" t="s">
        <v>69</v>
      </c>
      <c r="Z19" t="s">
        <v>69</v>
      </c>
      <c r="AA19">
        <v>114</v>
      </c>
      <c r="AB19" t="s">
        <v>73</v>
      </c>
      <c r="AC19" t="s">
        <v>69</v>
      </c>
      <c r="AD19" t="s">
        <v>71</v>
      </c>
      <c r="AE19" t="s">
        <v>69</v>
      </c>
      <c r="AF19">
        <v>89.093999999999994</v>
      </c>
      <c r="AG19" t="s">
        <v>69</v>
      </c>
      <c r="AH19" t="s">
        <v>69</v>
      </c>
      <c r="AI19">
        <v>116</v>
      </c>
      <c r="AJ19" t="s">
        <v>74</v>
      </c>
      <c r="AK19" t="s">
        <v>69</v>
      </c>
      <c r="AL19" t="s">
        <v>75</v>
      </c>
      <c r="AM19" t="s">
        <v>69</v>
      </c>
      <c r="AN19">
        <v>174.203</v>
      </c>
      <c r="AO19" t="s">
        <v>69</v>
      </c>
      <c r="AP19" t="s">
        <v>69</v>
      </c>
      <c r="AQ19">
        <v>117</v>
      </c>
      <c r="AR19" t="s">
        <v>74</v>
      </c>
      <c r="AS19" t="s">
        <v>69</v>
      </c>
      <c r="AT19" t="s">
        <v>75</v>
      </c>
      <c r="AU19" t="s">
        <v>69</v>
      </c>
      <c r="AV19">
        <v>174.203</v>
      </c>
      <c r="AW19" t="s">
        <v>69</v>
      </c>
      <c r="AX19" t="s">
        <v>69</v>
      </c>
      <c r="AY19">
        <v>143</v>
      </c>
      <c r="AZ19" t="s">
        <v>74</v>
      </c>
      <c r="BA19" t="s">
        <v>69</v>
      </c>
      <c r="BB19" t="s">
        <v>75</v>
      </c>
      <c r="BC19" t="s">
        <v>69</v>
      </c>
      <c r="BD19">
        <v>174.203</v>
      </c>
      <c r="BE19" t="s">
        <v>69</v>
      </c>
      <c r="BF19" t="s">
        <v>69</v>
      </c>
      <c r="BG19">
        <v>148</v>
      </c>
      <c r="BH19" t="s">
        <v>76</v>
      </c>
      <c r="BI19" t="s">
        <v>69</v>
      </c>
      <c r="BJ19" t="s">
        <v>75</v>
      </c>
      <c r="BK19" t="s">
        <v>69</v>
      </c>
      <c r="BL19">
        <v>146.18899999999999</v>
      </c>
      <c r="BM19" t="s">
        <v>69</v>
      </c>
      <c r="BN19" t="s">
        <v>69</v>
      </c>
    </row>
    <row r="20" spans="1:66" x14ac:dyDescent="0.25">
      <c r="A20">
        <v>7</v>
      </c>
      <c r="B20" t="str">
        <f>HYPERLINK("http://www.ncbi.nlm.nih.gov/protein/XP_047679603.1","XP_047679603.1")</f>
        <v>XP_047679603.1</v>
      </c>
      <c r="C20">
        <v>56399</v>
      </c>
      <c r="D20" t="str">
        <f>HYPERLINK("http://www.ncbi.nlm.nih.gov/Taxonomy/Browser/wwwtax.cgi?mode=Info&amp;id=61388&amp;lvl=3&amp;lin=f&amp;keep=1&amp;srchmode=1&amp;unlock","61388")</f>
        <v>61388</v>
      </c>
      <c r="E20" t="s">
        <v>66</v>
      </c>
      <c r="F20" t="str">
        <f>HYPERLINK("http://www.ncbi.nlm.nih.gov/Taxonomy/Browser/wwwtax.cgi?mode=Info&amp;id=61388&amp;lvl=3&amp;lin=f&amp;keep=1&amp;srchmode=1&amp;unlock","Prionailurus viverrinus")</f>
        <v>Prionailurus viverrinus</v>
      </c>
      <c r="G20" t="s">
        <v>94</v>
      </c>
      <c r="H20" t="str">
        <f>HYPERLINK("http://www.ncbi.nlm.nih.gov/protein/XP_047679603.1","40S ribosomal protein S3")</f>
        <v>40S ribosomal protein S3</v>
      </c>
      <c r="I20" t="s">
        <v>68</v>
      </c>
      <c r="J20" t="s">
        <v>69</v>
      </c>
      <c r="K20">
        <v>112</v>
      </c>
      <c r="L20" t="s">
        <v>70</v>
      </c>
      <c r="M20" t="s">
        <v>69</v>
      </c>
      <c r="N20" t="s">
        <v>71</v>
      </c>
      <c r="O20" t="s">
        <v>69</v>
      </c>
      <c r="P20">
        <v>75.066999999999993</v>
      </c>
      <c r="Q20" t="s">
        <v>69</v>
      </c>
      <c r="R20" t="s">
        <v>69</v>
      </c>
      <c r="S20">
        <v>113</v>
      </c>
      <c r="T20" t="s">
        <v>72</v>
      </c>
      <c r="U20" t="s">
        <v>69</v>
      </c>
      <c r="V20" t="s">
        <v>71</v>
      </c>
      <c r="W20" t="s">
        <v>69</v>
      </c>
      <c r="X20">
        <v>131.17500000000001</v>
      </c>
      <c r="Y20" t="s">
        <v>69</v>
      </c>
      <c r="Z20" t="s">
        <v>69</v>
      </c>
      <c r="AA20">
        <v>114</v>
      </c>
      <c r="AB20" t="s">
        <v>73</v>
      </c>
      <c r="AC20" t="s">
        <v>69</v>
      </c>
      <c r="AD20" t="s">
        <v>71</v>
      </c>
      <c r="AE20" t="s">
        <v>69</v>
      </c>
      <c r="AF20">
        <v>89.093999999999994</v>
      </c>
      <c r="AG20" t="s">
        <v>69</v>
      </c>
      <c r="AH20" t="s">
        <v>69</v>
      </c>
      <c r="AI20">
        <v>116</v>
      </c>
      <c r="AJ20" t="s">
        <v>74</v>
      </c>
      <c r="AK20" t="s">
        <v>69</v>
      </c>
      <c r="AL20" t="s">
        <v>75</v>
      </c>
      <c r="AM20" t="s">
        <v>69</v>
      </c>
      <c r="AN20">
        <v>174.203</v>
      </c>
      <c r="AO20" t="s">
        <v>69</v>
      </c>
      <c r="AP20" t="s">
        <v>69</v>
      </c>
      <c r="AQ20">
        <v>117</v>
      </c>
      <c r="AR20" t="s">
        <v>74</v>
      </c>
      <c r="AS20" t="s">
        <v>69</v>
      </c>
      <c r="AT20" t="s">
        <v>75</v>
      </c>
      <c r="AU20" t="s">
        <v>69</v>
      </c>
      <c r="AV20">
        <v>174.203</v>
      </c>
      <c r="AW20" t="s">
        <v>69</v>
      </c>
      <c r="AX20" t="s">
        <v>69</v>
      </c>
      <c r="AY20">
        <v>143</v>
      </c>
      <c r="AZ20" t="s">
        <v>74</v>
      </c>
      <c r="BA20" t="s">
        <v>69</v>
      </c>
      <c r="BB20" t="s">
        <v>75</v>
      </c>
      <c r="BC20" t="s">
        <v>69</v>
      </c>
      <c r="BD20">
        <v>174.203</v>
      </c>
      <c r="BE20" t="s">
        <v>69</v>
      </c>
      <c r="BF20" t="s">
        <v>69</v>
      </c>
      <c r="BG20">
        <v>148</v>
      </c>
      <c r="BH20" t="s">
        <v>76</v>
      </c>
      <c r="BI20" t="s">
        <v>69</v>
      </c>
      <c r="BJ20" t="s">
        <v>75</v>
      </c>
      <c r="BK20" t="s">
        <v>69</v>
      </c>
      <c r="BL20">
        <v>146.18899999999999</v>
      </c>
      <c r="BM20" t="s">
        <v>69</v>
      </c>
      <c r="BN20" t="s">
        <v>69</v>
      </c>
    </row>
    <row r="21" spans="1:66" x14ac:dyDescent="0.25">
      <c r="A21">
        <v>7</v>
      </c>
      <c r="B21" t="str">
        <f>HYPERLINK("http://www.ncbi.nlm.nih.gov/protein/XP_025866243.1","XP_025866243.1")</f>
        <v>XP_025866243.1</v>
      </c>
      <c r="C21">
        <v>38435</v>
      </c>
      <c r="D21" t="str">
        <f>HYPERLINK("http://www.ncbi.nlm.nih.gov/Taxonomy/Browser/wwwtax.cgi?mode=Info&amp;id=9627&amp;lvl=3&amp;lin=f&amp;keep=1&amp;srchmode=1&amp;unlock","9627")</f>
        <v>9627</v>
      </c>
      <c r="E21" t="s">
        <v>66</v>
      </c>
      <c r="F21" t="str">
        <f>HYPERLINK("http://www.ncbi.nlm.nih.gov/Taxonomy/Browser/wwwtax.cgi?mode=Info&amp;id=9627&amp;lvl=3&amp;lin=f&amp;keep=1&amp;srchmode=1&amp;unlock","Vulpes vulpes")</f>
        <v>Vulpes vulpes</v>
      </c>
      <c r="G21" t="s">
        <v>95</v>
      </c>
      <c r="H21" t="str">
        <f>HYPERLINK("http://www.ncbi.nlm.nih.gov/protein/XP_025866243.1","40S ribosomal protein S3")</f>
        <v>40S ribosomal protein S3</v>
      </c>
      <c r="I21" t="s">
        <v>68</v>
      </c>
      <c r="J21" t="s">
        <v>69</v>
      </c>
      <c r="K21">
        <v>112</v>
      </c>
      <c r="L21" t="s">
        <v>70</v>
      </c>
      <c r="M21" t="s">
        <v>69</v>
      </c>
      <c r="N21" t="s">
        <v>71</v>
      </c>
      <c r="O21" t="s">
        <v>69</v>
      </c>
      <c r="P21">
        <v>75.066999999999993</v>
      </c>
      <c r="Q21" t="s">
        <v>69</v>
      </c>
      <c r="R21" t="s">
        <v>69</v>
      </c>
      <c r="S21">
        <v>113</v>
      </c>
      <c r="T21" t="s">
        <v>72</v>
      </c>
      <c r="U21" t="s">
        <v>69</v>
      </c>
      <c r="V21" t="s">
        <v>71</v>
      </c>
      <c r="W21" t="s">
        <v>69</v>
      </c>
      <c r="X21">
        <v>131.17500000000001</v>
      </c>
      <c r="Y21" t="s">
        <v>69</v>
      </c>
      <c r="Z21" t="s">
        <v>69</v>
      </c>
      <c r="AA21">
        <v>114</v>
      </c>
      <c r="AB21" t="s">
        <v>73</v>
      </c>
      <c r="AC21" t="s">
        <v>69</v>
      </c>
      <c r="AD21" t="s">
        <v>71</v>
      </c>
      <c r="AE21" t="s">
        <v>69</v>
      </c>
      <c r="AF21">
        <v>89.093999999999994</v>
      </c>
      <c r="AG21" t="s">
        <v>69</v>
      </c>
      <c r="AH21" t="s">
        <v>69</v>
      </c>
      <c r="AI21">
        <v>116</v>
      </c>
      <c r="AJ21" t="s">
        <v>74</v>
      </c>
      <c r="AK21" t="s">
        <v>69</v>
      </c>
      <c r="AL21" t="s">
        <v>75</v>
      </c>
      <c r="AM21" t="s">
        <v>69</v>
      </c>
      <c r="AN21">
        <v>174.203</v>
      </c>
      <c r="AO21" t="s">
        <v>69</v>
      </c>
      <c r="AP21" t="s">
        <v>69</v>
      </c>
      <c r="AQ21">
        <v>117</v>
      </c>
      <c r="AR21" t="s">
        <v>74</v>
      </c>
      <c r="AS21" t="s">
        <v>69</v>
      </c>
      <c r="AT21" t="s">
        <v>75</v>
      </c>
      <c r="AU21" t="s">
        <v>69</v>
      </c>
      <c r="AV21">
        <v>174.203</v>
      </c>
      <c r="AW21" t="s">
        <v>69</v>
      </c>
      <c r="AX21" t="s">
        <v>69</v>
      </c>
      <c r="AY21">
        <v>143</v>
      </c>
      <c r="AZ21" t="s">
        <v>74</v>
      </c>
      <c r="BA21" t="s">
        <v>69</v>
      </c>
      <c r="BB21" t="s">
        <v>75</v>
      </c>
      <c r="BC21" t="s">
        <v>69</v>
      </c>
      <c r="BD21">
        <v>174.203</v>
      </c>
      <c r="BE21" t="s">
        <v>69</v>
      </c>
      <c r="BF21" t="s">
        <v>69</v>
      </c>
      <c r="BG21">
        <v>148</v>
      </c>
      <c r="BH21" t="s">
        <v>76</v>
      </c>
      <c r="BI21" t="s">
        <v>69</v>
      </c>
      <c r="BJ21" t="s">
        <v>75</v>
      </c>
      <c r="BK21" t="s">
        <v>69</v>
      </c>
      <c r="BL21">
        <v>146.18899999999999</v>
      </c>
      <c r="BM21" t="s">
        <v>69</v>
      </c>
      <c r="BN21" t="s">
        <v>69</v>
      </c>
    </row>
    <row r="22" spans="1:66" x14ac:dyDescent="0.25">
      <c r="A22">
        <v>7</v>
      </c>
      <c r="B22" t="str">
        <f>HYPERLINK("http://www.ncbi.nlm.nih.gov/protein/XP_044114453.1","XP_044114453.1")</f>
        <v>XP_044114453.1</v>
      </c>
      <c r="C22">
        <v>44640</v>
      </c>
      <c r="D22" t="str">
        <f>HYPERLINK("http://www.ncbi.nlm.nih.gov/Taxonomy/Browser/wwwtax.cgi?mode=Info&amp;id=452646&amp;lvl=3&amp;lin=f&amp;keep=1&amp;srchmode=1&amp;unlock","452646")</f>
        <v>452646</v>
      </c>
      <c r="E22" t="s">
        <v>66</v>
      </c>
      <c r="F22" t="str">
        <f>HYPERLINK("http://www.ncbi.nlm.nih.gov/Taxonomy/Browser/wwwtax.cgi?mode=Info&amp;id=452646&amp;lvl=3&amp;lin=f&amp;keep=1&amp;srchmode=1&amp;unlock","Neogale vison")</f>
        <v>Neogale vison</v>
      </c>
      <c r="G22" t="s">
        <v>96</v>
      </c>
      <c r="H22" t="str">
        <f>HYPERLINK("http://www.ncbi.nlm.nih.gov/protein/XP_044114453.1","40S ribosomal protein S3")</f>
        <v>40S ribosomal protein S3</v>
      </c>
      <c r="I22" t="s">
        <v>68</v>
      </c>
      <c r="J22" t="s">
        <v>69</v>
      </c>
      <c r="K22">
        <v>112</v>
      </c>
      <c r="L22" t="s">
        <v>70</v>
      </c>
      <c r="M22" t="s">
        <v>69</v>
      </c>
      <c r="N22" t="s">
        <v>71</v>
      </c>
      <c r="O22" t="s">
        <v>69</v>
      </c>
      <c r="P22">
        <v>75.066999999999993</v>
      </c>
      <c r="Q22" t="s">
        <v>69</v>
      </c>
      <c r="R22" t="s">
        <v>69</v>
      </c>
      <c r="S22">
        <v>113</v>
      </c>
      <c r="T22" t="s">
        <v>72</v>
      </c>
      <c r="U22" t="s">
        <v>69</v>
      </c>
      <c r="V22" t="s">
        <v>71</v>
      </c>
      <c r="W22" t="s">
        <v>69</v>
      </c>
      <c r="X22">
        <v>131.17500000000001</v>
      </c>
      <c r="Y22" t="s">
        <v>69</v>
      </c>
      <c r="Z22" t="s">
        <v>69</v>
      </c>
      <c r="AA22">
        <v>114</v>
      </c>
      <c r="AB22" t="s">
        <v>73</v>
      </c>
      <c r="AC22" t="s">
        <v>69</v>
      </c>
      <c r="AD22" t="s">
        <v>71</v>
      </c>
      <c r="AE22" t="s">
        <v>69</v>
      </c>
      <c r="AF22">
        <v>89.093999999999994</v>
      </c>
      <c r="AG22" t="s">
        <v>69</v>
      </c>
      <c r="AH22" t="s">
        <v>69</v>
      </c>
      <c r="AI22">
        <v>116</v>
      </c>
      <c r="AJ22" t="s">
        <v>74</v>
      </c>
      <c r="AK22" t="s">
        <v>69</v>
      </c>
      <c r="AL22" t="s">
        <v>75</v>
      </c>
      <c r="AM22" t="s">
        <v>69</v>
      </c>
      <c r="AN22">
        <v>174.203</v>
      </c>
      <c r="AO22" t="s">
        <v>69</v>
      </c>
      <c r="AP22" t="s">
        <v>69</v>
      </c>
      <c r="AQ22">
        <v>117</v>
      </c>
      <c r="AR22" t="s">
        <v>74</v>
      </c>
      <c r="AS22" t="s">
        <v>69</v>
      </c>
      <c r="AT22" t="s">
        <v>75</v>
      </c>
      <c r="AU22" t="s">
        <v>69</v>
      </c>
      <c r="AV22">
        <v>174.203</v>
      </c>
      <c r="AW22" t="s">
        <v>69</v>
      </c>
      <c r="AX22" t="s">
        <v>69</v>
      </c>
      <c r="AY22">
        <v>143</v>
      </c>
      <c r="AZ22" t="s">
        <v>74</v>
      </c>
      <c r="BA22" t="s">
        <v>69</v>
      </c>
      <c r="BB22" t="s">
        <v>75</v>
      </c>
      <c r="BC22" t="s">
        <v>69</v>
      </c>
      <c r="BD22">
        <v>174.203</v>
      </c>
      <c r="BE22" t="s">
        <v>69</v>
      </c>
      <c r="BF22" t="s">
        <v>69</v>
      </c>
      <c r="BG22">
        <v>148</v>
      </c>
      <c r="BH22" t="s">
        <v>76</v>
      </c>
      <c r="BI22" t="s">
        <v>69</v>
      </c>
      <c r="BJ22" t="s">
        <v>75</v>
      </c>
      <c r="BK22" t="s">
        <v>69</v>
      </c>
      <c r="BL22">
        <v>146.18899999999999</v>
      </c>
      <c r="BM22" t="s">
        <v>69</v>
      </c>
      <c r="BN22" t="s">
        <v>69</v>
      </c>
    </row>
    <row r="23" spans="1:66" x14ac:dyDescent="0.25">
      <c r="A23">
        <v>7</v>
      </c>
      <c r="B23" t="str">
        <f>HYPERLINK("http://www.ncbi.nlm.nih.gov/protein/XP_006141067.2","XP_006141067.2")</f>
        <v>XP_006141067.2</v>
      </c>
      <c r="C23">
        <v>59507</v>
      </c>
      <c r="D23" t="str">
        <f>HYPERLINK("http://www.ncbi.nlm.nih.gov/Taxonomy/Browser/wwwtax.cgi?mode=Info&amp;id=246437&amp;lvl=3&amp;lin=f&amp;keep=1&amp;srchmode=1&amp;unlock","246437")</f>
        <v>246437</v>
      </c>
      <c r="E23" t="s">
        <v>66</v>
      </c>
      <c r="F23" t="str">
        <f>HYPERLINK("http://www.ncbi.nlm.nih.gov/Taxonomy/Browser/wwwtax.cgi?mode=Info&amp;id=246437&amp;lvl=3&amp;lin=f&amp;keep=1&amp;srchmode=1&amp;unlock","Tupaia chinensis")</f>
        <v>Tupaia chinensis</v>
      </c>
      <c r="G23" t="s">
        <v>97</v>
      </c>
      <c r="H23" t="str">
        <f>HYPERLINK("http://www.ncbi.nlm.nih.gov/protein/XP_006141067.2","40S ribosomal protein S3")</f>
        <v>40S ribosomal protein S3</v>
      </c>
      <c r="I23" t="s">
        <v>68</v>
      </c>
      <c r="J23" t="s">
        <v>69</v>
      </c>
      <c r="K23">
        <v>112</v>
      </c>
      <c r="L23" t="s">
        <v>70</v>
      </c>
      <c r="M23" t="s">
        <v>69</v>
      </c>
      <c r="N23" t="s">
        <v>71</v>
      </c>
      <c r="O23" t="s">
        <v>69</v>
      </c>
      <c r="P23">
        <v>75.066999999999993</v>
      </c>
      <c r="Q23" t="s">
        <v>69</v>
      </c>
      <c r="R23" t="s">
        <v>69</v>
      </c>
      <c r="S23">
        <v>113</v>
      </c>
      <c r="T23" t="s">
        <v>72</v>
      </c>
      <c r="U23" t="s">
        <v>69</v>
      </c>
      <c r="V23" t="s">
        <v>71</v>
      </c>
      <c r="W23" t="s">
        <v>69</v>
      </c>
      <c r="X23">
        <v>131.17500000000001</v>
      </c>
      <c r="Y23" t="s">
        <v>69</v>
      </c>
      <c r="Z23" t="s">
        <v>69</v>
      </c>
      <c r="AA23">
        <v>114</v>
      </c>
      <c r="AB23" t="s">
        <v>73</v>
      </c>
      <c r="AC23" t="s">
        <v>69</v>
      </c>
      <c r="AD23" t="s">
        <v>71</v>
      </c>
      <c r="AE23" t="s">
        <v>69</v>
      </c>
      <c r="AF23">
        <v>89.093999999999994</v>
      </c>
      <c r="AG23" t="s">
        <v>69</v>
      </c>
      <c r="AH23" t="s">
        <v>69</v>
      </c>
      <c r="AI23">
        <v>116</v>
      </c>
      <c r="AJ23" t="s">
        <v>74</v>
      </c>
      <c r="AK23" t="s">
        <v>69</v>
      </c>
      <c r="AL23" t="s">
        <v>75</v>
      </c>
      <c r="AM23" t="s">
        <v>69</v>
      </c>
      <c r="AN23">
        <v>174.203</v>
      </c>
      <c r="AO23" t="s">
        <v>69</v>
      </c>
      <c r="AP23" t="s">
        <v>69</v>
      </c>
      <c r="AQ23">
        <v>117</v>
      </c>
      <c r="AR23" t="s">
        <v>74</v>
      </c>
      <c r="AS23" t="s">
        <v>69</v>
      </c>
      <c r="AT23" t="s">
        <v>75</v>
      </c>
      <c r="AU23" t="s">
        <v>69</v>
      </c>
      <c r="AV23">
        <v>174.203</v>
      </c>
      <c r="AW23" t="s">
        <v>69</v>
      </c>
      <c r="AX23" t="s">
        <v>69</v>
      </c>
      <c r="AY23">
        <v>143</v>
      </c>
      <c r="AZ23" t="s">
        <v>74</v>
      </c>
      <c r="BA23" t="s">
        <v>69</v>
      </c>
      <c r="BB23" t="s">
        <v>75</v>
      </c>
      <c r="BC23" t="s">
        <v>69</v>
      </c>
      <c r="BD23">
        <v>174.203</v>
      </c>
      <c r="BE23" t="s">
        <v>69</v>
      </c>
      <c r="BF23" t="s">
        <v>69</v>
      </c>
      <c r="BG23">
        <v>148</v>
      </c>
      <c r="BH23" t="s">
        <v>76</v>
      </c>
      <c r="BI23" t="s">
        <v>69</v>
      </c>
      <c r="BJ23" t="s">
        <v>75</v>
      </c>
      <c r="BK23" t="s">
        <v>69</v>
      </c>
      <c r="BL23">
        <v>146.18899999999999</v>
      </c>
      <c r="BM23" t="s">
        <v>69</v>
      </c>
      <c r="BN23" t="s">
        <v>69</v>
      </c>
    </row>
    <row r="24" spans="1:66" x14ac:dyDescent="0.25">
      <c r="A24">
        <v>7</v>
      </c>
      <c r="B24" t="str">
        <f>HYPERLINK("http://www.ncbi.nlm.nih.gov/protein/XP_004768082.1","XP_004768082.1")</f>
        <v>XP_004768082.1</v>
      </c>
      <c r="C24">
        <v>58003</v>
      </c>
      <c r="D24" t="str">
        <f>HYPERLINK("http://www.ncbi.nlm.nih.gov/Taxonomy/Browser/wwwtax.cgi?mode=Info&amp;id=9669&amp;lvl=3&amp;lin=f&amp;keep=1&amp;srchmode=1&amp;unlock","9669")</f>
        <v>9669</v>
      </c>
      <c r="E24" t="s">
        <v>66</v>
      </c>
      <c r="F24" t="str">
        <f>HYPERLINK("http://www.ncbi.nlm.nih.gov/Taxonomy/Browser/wwwtax.cgi?mode=Info&amp;id=9669&amp;lvl=3&amp;lin=f&amp;keep=1&amp;srchmode=1&amp;unlock","Mustela putorius furo")</f>
        <v>Mustela putorius furo</v>
      </c>
      <c r="G24" t="s">
        <v>98</v>
      </c>
      <c r="H24" t="str">
        <f>HYPERLINK("http://www.ncbi.nlm.nih.gov/protein/XP_004768082.1","40S ribosomal protein S3")</f>
        <v>40S ribosomal protein S3</v>
      </c>
      <c r="I24" t="s">
        <v>68</v>
      </c>
      <c r="J24" t="s">
        <v>69</v>
      </c>
      <c r="K24">
        <v>112</v>
      </c>
      <c r="L24" t="s">
        <v>70</v>
      </c>
      <c r="M24" t="s">
        <v>69</v>
      </c>
      <c r="N24" t="s">
        <v>71</v>
      </c>
      <c r="O24" t="s">
        <v>69</v>
      </c>
      <c r="P24">
        <v>75.066999999999993</v>
      </c>
      <c r="Q24" t="s">
        <v>69</v>
      </c>
      <c r="R24" t="s">
        <v>69</v>
      </c>
      <c r="S24">
        <v>113</v>
      </c>
      <c r="T24" t="s">
        <v>72</v>
      </c>
      <c r="U24" t="s">
        <v>69</v>
      </c>
      <c r="V24" t="s">
        <v>71</v>
      </c>
      <c r="W24" t="s">
        <v>69</v>
      </c>
      <c r="X24">
        <v>131.17500000000001</v>
      </c>
      <c r="Y24" t="s">
        <v>69</v>
      </c>
      <c r="Z24" t="s">
        <v>69</v>
      </c>
      <c r="AA24">
        <v>114</v>
      </c>
      <c r="AB24" t="s">
        <v>73</v>
      </c>
      <c r="AC24" t="s">
        <v>69</v>
      </c>
      <c r="AD24" t="s">
        <v>71</v>
      </c>
      <c r="AE24" t="s">
        <v>69</v>
      </c>
      <c r="AF24">
        <v>89.093999999999994</v>
      </c>
      <c r="AG24" t="s">
        <v>69</v>
      </c>
      <c r="AH24" t="s">
        <v>69</v>
      </c>
      <c r="AI24">
        <v>116</v>
      </c>
      <c r="AJ24" t="s">
        <v>74</v>
      </c>
      <c r="AK24" t="s">
        <v>69</v>
      </c>
      <c r="AL24" t="s">
        <v>75</v>
      </c>
      <c r="AM24" t="s">
        <v>69</v>
      </c>
      <c r="AN24">
        <v>174.203</v>
      </c>
      <c r="AO24" t="s">
        <v>69</v>
      </c>
      <c r="AP24" t="s">
        <v>69</v>
      </c>
      <c r="AQ24">
        <v>117</v>
      </c>
      <c r="AR24" t="s">
        <v>74</v>
      </c>
      <c r="AS24" t="s">
        <v>69</v>
      </c>
      <c r="AT24" t="s">
        <v>75</v>
      </c>
      <c r="AU24" t="s">
        <v>69</v>
      </c>
      <c r="AV24">
        <v>174.203</v>
      </c>
      <c r="AW24" t="s">
        <v>69</v>
      </c>
      <c r="AX24" t="s">
        <v>69</v>
      </c>
      <c r="AY24">
        <v>143</v>
      </c>
      <c r="AZ24" t="s">
        <v>74</v>
      </c>
      <c r="BA24" t="s">
        <v>69</v>
      </c>
      <c r="BB24" t="s">
        <v>75</v>
      </c>
      <c r="BC24" t="s">
        <v>69</v>
      </c>
      <c r="BD24">
        <v>174.203</v>
      </c>
      <c r="BE24" t="s">
        <v>69</v>
      </c>
      <c r="BF24" t="s">
        <v>69</v>
      </c>
      <c r="BG24">
        <v>148</v>
      </c>
      <c r="BH24" t="s">
        <v>76</v>
      </c>
      <c r="BI24" t="s">
        <v>69</v>
      </c>
      <c r="BJ24" t="s">
        <v>75</v>
      </c>
      <c r="BK24" t="s">
        <v>69</v>
      </c>
      <c r="BL24">
        <v>146.18899999999999</v>
      </c>
      <c r="BM24" t="s">
        <v>69</v>
      </c>
      <c r="BN24" t="s">
        <v>69</v>
      </c>
    </row>
    <row r="25" spans="1:66" x14ac:dyDescent="0.25">
      <c r="A25">
        <v>7</v>
      </c>
      <c r="B25" t="str">
        <f>HYPERLINK("http://www.ncbi.nlm.nih.gov/protein/XP_045835182.1","XP_045835182.1")</f>
        <v>XP_045835182.1</v>
      </c>
      <c r="C25">
        <v>50752</v>
      </c>
      <c r="D25" t="str">
        <f>HYPERLINK("http://www.ncbi.nlm.nih.gov/Taxonomy/Browser/wwwtax.cgi?mode=Info&amp;id=9662&amp;lvl=3&amp;lin=f&amp;keep=1&amp;srchmode=1&amp;unlock","9662")</f>
        <v>9662</v>
      </c>
      <c r="E25" t="s">
        <v>66</v>
      </c>
      <c r="F25" t="str">
        <f>HYPERLINK("http://www.ncbi.nlm.nih.gov/Taxonomy/Browser/wwwtax.cgi?mode=Info&amp;id=9662&amp;lvl=3&amp;lin=f&amp;keep=1&amp;srchmode=1&amp;unlock","Meles meles")</f>
        <v>Meles meles</v>
      </c>
      <c r="G25" t="s">
        <v>99</v>
      </c>
      <c r="H25" t="str">
        <f>HYPERLINK("http://www.ncbi.nlm.nih.gov/protein/XP_045835182.1","40S ribosomal protein S3")</f>
        <v>40S ribosomal protein S3</v>
      </c>
      <c r="I25" t="s">
        <v>68</v>
      </c>
      <c r="J25" t="s">
        <v>69</v>
      </c>
      <c r="K25">
        <v>112</v>
      </c>
      <c r="L25" t="s">
        <v>70</v>
      </c>
      <c r="M25" t="s">
        <v>69</v>
      </c>
      <c r="N25" t="s">
        <v>71</v>
      </c>
      <c r="O25" t="s">
        <v>69</v>
      </c>
      <c r="P25">
        <v>75.066999999999993</v>
      </c>
      <c r="Q25" t="s">
        <v>69</v>
      </c>
      <c r="R25" t="s">
        <v>69</v>
      </c>
      <c r="S25">
        <v>113</v>
      </c>
      <c r="T25" t="s">
        <v>72</v>
      </c>
      <c r="U25" t="s">
        <v>69</v>
      </c>
      <c r="V25" t="s">
        <v>71</v>
      </c>
      <c r="W25" t="s">
        <v>69</v>
      </c>
      <c r="X25">
        <v>131.17500000000001</v>
      </c>
      <c r="Y25" t="s">
        <v>69</v>
      </c>
      <c r="Z25" t="s">
        <v>69</v>
      </c>
      <c r="AA25">
        <v>114</v>
      </c>
      <c r="AB25" t="s">
        <v>73</v>
      </c>
      <c r="AC25" t="s">
        <v>69</v>
      </c>
      <c r="AD25" t="s">
        <v>71</v>
      </c>
      <c r="AE25" t="s">
        <v>69</v>
      </c>
      <c r="AF25">
        <v>89.093999999999994</v>
      </c>
      <c r="AG25" t="s">
        <v>69</v>
      </c>
      <c r="AH25" t="s">
        <v>69</v>
      </c>
      <c r="AI25">
        <v>116</v>
      </c>
      <c r="AJ25" t="s">
        <v>74</v>
      </c>
      <c r="AK25" t="s">
        <v>69</v>
      </c>
      <c r="AL25" t="s">
        <v>75</v>
      </c>
      <c r="AM25" t="s">
        <v>69</v>
      </c>
      <c r="AN25">
        <v>174.203</v>
      </c>
      <c r="AO25" t="s">
        <v>69</v>
      </c>
      <c r="AP25" t="s">
        <v>69</v>
      </c>
      <c r="AQ25">
        <v>117</v>
      </c>
      <c r="AR25" t="s">
        <v>74</v>
      </c>
      <c r="AS25" t="s">
        <v>69</v>
      </c>
      <c r="AT25" t="s">
        <v>75</v>
      </c>
      <c r="AU25" t="s">
        <v>69</v>
      </c>
      <c r="AV25">
        <v>174.203</v>
      </c>
      <c r="AW25" t="s">
        <v>69</v>
      </c>
      <c r="AX25" t="s">
        <v>69</v>
      </c>
      <c r="AY25">
        <v>143</v>
      </c>
      <c r="AZ25" t="s">
        <v>74</v>
      </c>
      <c r="BA25" t="s">
        <v>69</v>
      </c>
      <c r="BB25" t="s">
        <v>75</v>
      </c>
      <c r="BC25" t="s">
        <v>69</v>
      </c>
      <c r="BD25">
        <v>174.203</v>
      </c>
      <c r="BE25" t="s">
        <v>69</v>
      </c>
      <c r="BF25" t="s">
        <v>69</v>
      </c>
      <c r="BG25">
        <v>148</v>
      </c>
      <c r="BH25" t="s">
        <v>76</v>
      </c>
      <c r="BI25" t="s">
        <v>69</v>
      </c>
      <c r="BJ25" t="s">
        <v>75</v>
      </c>
      <c r="BK25" t="s">
        <v>69</v>
      </c>
      <c r="BL25">
        <v>146.18899999999999</v>
      </c>
      <c r="BM25" t="s">
        <v>69</v>
      </c>
      <c r="BN25" t="s">
        <v>69</v>
      </c>
    </row>
    <row r="26" spans="1:66" x14ac:dyDescent="0.25">
      <c r="A26">
        <v>7</v>
      </c>
      <c r="B26" t="str">
        <f>HYPERLINK("http://www.ncbi.nlm.nih.gov/protein/XP_017497881.1","XP_017497881.1")</f>
        <v>XP_017497881.1</v>
      </c>
      <c r="C26">
        <v>56064</v>
      </c>
      <c r="D26" t="str">
        <f>HYPERLINK("http://www.ncbi.nlm.nih.gov/Taxonomy/Browser/wwwtax.cgi?mode=Info&amp;id=9974&amp;lvl=3&amp;lin=f&amp;keep=1&amp;srchmode=1&amp;unlock","9974")</f>
        <v>9974</v>
      </c>
      <c r="E26" t="s">
        <v>66</v>
      </c>
      <c r="F26" t="str">
        <f>HYPERLINK("http://www.ncbi.nlm.nih.gov/Taxonomy/Browser/wwwtax.cgi?mode=Info&amp;id=9974&amp;lvl=3&amp;lin=f&amp;keep=1&amp;srchmode=1&amp;unlock","Manis javanica")</f>
        <v>Manis javanica</v>
      </c>
      <c r="G26" t="s">
        <v>100</v>
      </c>
      <c r="H26" t="str">
        <f>HYPERLINK("http://www.ncbi.nlm.nih.gov/protein/XP_017497881.1","40S ribosomal protein S3 isoform X1")</f>
        <v>40S ribosomal protein S3 isoform X1</v>
      </c>
      <c r="I26" t="s">
        <v>68</v>
      </c>
      <c r="J26" t="s">
        <v>69</v>
      </c>
      <c r="K26">
        <v>112</v>
      </c>
      <c r="L26" t="s">
        <v>70</v>
      </c>
      <c r="M26" t="s">
        <v>69</v>
      </c>
      <c r="N26" t="s">
        <v>71</v>
      </c>
      <c r="O26" t="s">
        <v>69</v>
      </c>
      <c r="P26">
        <v>75.066999999999993</v>
      </c>
      <c r="Q26" t="s">
        <v>69</v>
      </c>
      <c r="R26" t="s">
        <v>69</v>
      </c>
      <c r="S26">
        <v>113</v>
      </c>
      <c r="T26" t="s">
        <v>72</v>
      </c>
      <c r="U26" t="s">
        <v>69</v>
      </c>
      <c r="V26" t="s">
        <v>71</v>
      </c>
      <c r="W26" t="s">
        <v>69</v>
      </c>
      <c r="X26">
        <v>131.17500000000001</v>
      </c>
      <c r="Y26" t="s">
        <v>69</v>
      </c>
      <c r="Z26" t="s">
        <v>69</v>
      </c>
      <c r="AA26">
        <v>114</v>
      </c>
      <c r="AB26" t="s">
        <v>73</v>
      </c>
      <c r="AC26" t="s">
        <v>69</v>
      </c>
      <c r="AD26" t="s">
        <v>71</v>
      </c>
      <c r="AE26" t="s">
        <v>69</v>
      </c>
      <c r="AF26">
        <v>89.093999999999994</v>
      </c>
      <c r="AG26" t="s">
        <v>69</v>
      </c>
      <c r="AH26" t="s">
        <v>69</v>
      </c>
      <c r="AI26">
        <v>116</v>
      </c>
      <c r="AJ26" t="s">
        <v>74</v>
      </c>
      <c r="AK26" t="s">
        <v>69</v>
      </c>
      <c r="AL26" t="s">
        <v>75</v>
      </c>
      <c r="AM26" t="s">
        <v>69</v>
      </c>
      <c r="AN26">
        <v>174.203</v>
      </c>
      <c r="AO26" t="s">
        <v>69</v>
      </c>
      <c r="AP26" t="s">
        <v>69</v>
      </c>
      <c r="AQ26">
        <v>117</v>
      </c>
      <c r="AR26" t="s">
        <v>74</v>
      </c>
      <c r="AS26" t="s">
        <v>69</v>
      </c>
      <c r="AT26" t="s">
        <v>75</v>
      </c>
      <c r="AU26" t="s">
        <v>69</v>
      </c>
      <c r="AV26">
        <v>174.203</v>
      </c>
      <c r="AW26" t="s">
        <v>69</v>
      </c>
      <c r="AX26" t="s">
        <v>69</v>
      </c>
      <c r="AY26">
        <v>143</v>
      </c>
      <c r="AZ26" t="s">
        <v>74</v>
      </c>
      <c r="BA26" t="s">
        <v>69</v>
      </c>
      <c r="BB26" t="s">
        <v>75</v>
      </c>
      <c r="BC26" t="s">
        <v>69</v>
      </c>
      <c r="BD26">
        <v>174.203</v>
      </c>
      <c r="BE26" t="s">
        <v>69</v>
      </c>
      <c r="BF26" t="s">
        <v>69</v>
      </c>
      <c r="BG26">
        <v>148</v>
      </c>
      <c r="BH26" t="s">
        <v>76</v>
      </c>
      <c r="BI26" t="s">
        <v>69</v>
      </c>
      <c r="BJ26" t="s">
        <v>75</v>
      </c>
      <c r="BK26" t="s">
        <v>69</v>
      </c>
      <c r="BL26">
        <v>146.18899999999999</v>
      </c>
      <c r="BM26" t="s">
        <v>69</v>
      </c>
      <c r="BN26" t="s">
        <v>69</v>
      </c>
    </row>
    <row r="27" spans="1:66" x14ac:dyDescent="0.25">
      <c r="A27">
        <v>7</v>
      </c>
      <c r="B27" t="str">
        <f>HYPERLINK("http://www.ncbi.nlm.nih.gov/protein/MBZ3873101.1","MBZ3873101.1")</f>
        <v>MBZ3873101.1</v>
      </c>
      <c r="C27">
        <v>74939</v>
      </c>
      <c r="D27" t="str">
        <f>HYPERLINK("http://www.ncbi.nlm.nih.gov/Taxonomy/Browser/wwwtax.cgi?mode=Info&amp;id=30640&amp;lvl=3&amp;lin=f&amp;keep=1&amp;srchmode=1&amp;unlock","30640")</f>
        <v>30640</v>
      </c>
      <c r="E27" t="s">
        <v>66</v>
      </c>
      <c r="F27" t="str">
        <f>HYPERLINK("http://www.ncbi.nlm.nih.gov/Taxonomy/Browser/wwwtax.cgi?mode=Info&amp;id=30640&amp;lvl=3&amp;lin=f&amp;keep=1&amp;srchmode=1&amp;unlock","Neosciurus carolinensis")</f>
        <v>Neosciurus carolinensis</v>
      </c>
      <c r="G27" t="s">
        <v>101</v>
      </c>
      <c r="H27" t="str">
        <f>HYPERLINK("http://www.ncbi.nlm.nih.gov/protein/MBZ3873101.1","40S ribosomal protein S3")</f>
        <v>40S ribosomal protein S3</v>
      </c>
      <c r="I27" t="s">
        <v>68</v>
      </c>
      <c r="J27" t="s">
        <v>69</v>
      </c>
      <c r="K27">
        <v>112</v>
      </c>
      <c r="L27" t="s">
        <v>70</v>
      </c>
      <c r="M27" t="s">
        <v>69</v>
      </c>
      <c r="N27" t="s">
        <v>71</v>
      </c>
      <c r="O27" t="s">
        <v>69</v>
      </c>
      <c r="P27">
        <v>75.066999999999993</v>
      </c>
      <c r="Q27" t="s">
        <v>69</v>
      </c>
      <c r="R27" t="s">
        <v>69</v>
      </c>
      <c r="S27">
        <v>113</v>
      </c>
      <c r="T27" t="s">
        <v>72</v>
      </c>
      <c r="U27" t="s">
        <v>69</v>
      </c>
      <c r="V27" t="s">
        <v>71</v>
      </c>
      <c r="W27" t="s">
        <v>69</v>
      </c>
      <c r="X27">
        <v>131.17500000000001</v>
      </c>
      <c r="Y27" t="s">
        <v>69</v>
      </c>
      <c r="Z27" t="s">
        <v>69</v>
      </c>
      <c r="AA27">
        <v>114</v>
      </c>
      <c r="AB27" t="s">
        <v>73</v>
      </c>
      <c r="AC27" t="s">
        <v>69</v>
      </c>
      <c r="AD27" t="s">
        <v>71</v>
      </c>
      <c r="AE27" t="s">
        <v>69</v>
      </c>
      <c r="AF27">
        <v>89.093999999999994</v>
      </c>
      <c r="AG27" t="s">
        <v>69</v>
      </c>
      <c r="AH27" t="s">
        <v>69</v>
      </c>
      <c r="AI27">
        <v>116</v>
      </c>
      <c r="AJ27" t="s">
        <v>74</v>
      </c>
      <c r="AK27" t="s">
        <v>69</v>
      </c>
      <c r="AL27" t="s">
        <v>75</v>
      </c>
      <c r="AM27" t="s">
        <v>69</v>
      </c>
      <c r="AN27">
        <v>174.203</v>
      </c>
      <c r="AO27" t="s">
        <v>69</v>
      </c>
      <c r="AP27" t="s">
        <v>69</v>
      </c>
      <c r="AQ27">
        <v>117</v>
      </c>
      <c r="AR27" t="s">
        <v>74</v>
      </c>
      <c r="AS27" t="s">
        <v>69</v>
      </c>
      <c r="AT27" t="s">
        <v>75</v>
      </c>
      <c r="AU27" t="s">
        <v>69</v>
      </c>
      <c r="AV27">
        <v>174.203</v>
      </c>
      <c r="AW27" t="s">
        <v>69</v>
      </c>
      <c r="AX27" t="s">
        <v>69</v>
      </c>
      <c r="AY27">
        <v>143</v>
      </c>
      <c r="AZ27" t="s">
        <v>74</v>
      </c>
      <c r="BA27" t="s">
        <v>69</v>
      </c>
      <c r="BB27" t="s">
        <v>75</v>
      </c>
      <c r="BC27" t="s">
        <v>69</v>
      </c>
      <c r="BD27">
        <v>174.203</v>
      </c>
      <c r="BE27" t="s">
        <v>69</v>
      </c>
      <c r="BF27" t="s">
        <v>69</v>
      </c>
      <c r="BG27">
        <v>148</v>
      </c>
      <c r="BH27" t="s">
        <v>76</v>
      </c>
      <c r="BI27" t="s">
        <v>69</v>
      </c>
      <c r="BJ27" t="s">
        <v>75</v>
      </c>
      <c r="BK27" t="s">
        <v>69</v>
      </c>
      <c r="BL27">
        <v>146.18899999999999</v>
      </c>
      <c r="BM27" t="s">
        <v>69</v>
      </c>
      <c r="BN27" t="s">
        <v>69</v>
      </c>
    </row>
    <row r="28" spans="1:66" x14ac:dyDescent="0.25">
      <c r="A28">
        <v>7</v>
      </c>
      <c r="B28" t="str">
        <f>HYPERLINK("http://www.ncbi.nlm.nih.gov/protein/NP_001009239.1","NP_001009239.1")</f>
        <v>NP_001009239.1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HYPERLINK("http://www.ncbi.nlm.nih.gov/protein/NP_001009239.1","40S ribosomal protein S3")</f>
        <v>40S ribosomal protein S3</v>
      </c>
      <c r="I28" t="s">
        <v>68</v>
      </c>
      <c r="J28" t="s">
        <v>69</v>
      </c>
      <c r="K28">
        <v>112</v>
      </c>
      <c r="L28" t="s">
        <v>70</v>
      </c>
      <c r="M28" t="s">
        <v>69</v>
      </c>
      <c r="N28" t="s">
        <v>71</v>
      </c>
      <c r="O28" t="s">
        <v>69</v>
      </c>
      <c r="P28">
        <v>75.066999999999993</v>
      </c>
      <c r="Q28" t="s">
        <v>69</v>
      </c>
      <c r="R28" t="s">
        <v>69</v>
      </c>
      <c r="S28">
        <v>113</v>
      </c>
      <c r="T28" t="s">
        <v>72</v>
      </c>
      <c r="U28" t="s">
        <v>69</v>
      </c>
      <c r="V28" t="s">
        <v>71</v>
      </c>
      <c r="W28" t="s">
        <v>69</v>
      </c>
      <c r="X28">
        <v>131.17500000000001</v>
      </c>
      <c r="Y28" t="s">
        <v>69</v>
      </c>
      <c r="Z28" t="s">
        <v>69</v>
      </c>
      <c r="AA28">
        <v>114</v>
      </c>
      <c r="AB28" t="s">
        <v>73</v>
      </c>
      <c r="AC28" t="s">
        <v>69</v>
      </c>
      <c r="AD28" t="s">
        <v>71</v>
      </c>
      <c r="AE28" t="s">
        <v>69</v>
      </c>
      <c r="AF28">
        <v>89.093999999999994</v>
      </c>
      <c r="AG28" t="s">
        <v>69</v>
      </c>
      <c r="AH28" t="s">
        <v>69</v>
      </c>
      <c r="AI28">
        <v>116</v>
      </c>
      <c r="AJ28" t="s">
        <v>74</v>
      </c>
      <c r="AK28" t="s">
        <v>69</v>
      </c>
      <c r="AL28" t="s">
        <v>75</v>
      </c>
      <c r="AM28" t="s">
        <v>69</v>
      </c>
      <c r="AN28">
        <v>174.203</v>
      </c>
      <c r="AO28" t="s">
        <v>69</v>
      </c>
      <c r="AP28" t="s">
        <v>69</v>
      </c>
      <c r="AQ28">
        <v>117</v>
      </c>
      <c r="AR28" t="s">
        <v>74</v>
      </c>
      <c r="AS28" t="s">
        <v>69</v>
      </c>
      <c r="AT28" t="s">
        <v>75</v>
      </c>
      <c r="AU28" t="s">
        <v>69</v>
      </c>
      <c r="AV28">
        <v>174.203</v>
      </c>
      <c r="AW28" t="s">
        <v>69</v>
      </c>
      <c r="AX28" t="s">
        <v>69</v>
      </c>
      <c r="AY28">
        <v>143</v>
      </c>
      <c r="AZ28" t="s">
        <v>74</v>
      </c>
      <c r="BA28" t="s">
        <v>69</v>
      </c>
      <c r="BB28" t="s">
        <v>75</v>
      </c>
      <c r="BC28" t="s">
        <v>69</v>
      </c>
      <c r="BD28">
        <v>174.203</v>
      </c>
      <c r="BE28" t="s">
        <v>69</v>
      </c>
      <c r="BF28" t="s">
        <v>69</v>
      </c>
      <c r="BG28">
        <v>148</v>
      </c>
      <c r="BH28" t="s">
        <v>76</v>
      </c>
      <c r="BI28" t="s">
        <v>69</v>
      </c>
      <c r="BJ28" t="s">
        <v>75</v>
      </c>
      <c r="BK28" t="s">
        <v>69</v>
      </c>
      <c r="BL28">
        <v>146.18899999999999</v>
      </c>
      <c r="BM28" t="s">
        <v>69</v>
      </c>
      <c r="BN28" t="s">
        <v>69</v>
      </c>
    </row>
    <row r="29" spans="1:66" x14ac:dyDescent="0.25">
      <c r="A29">
        <v>7</v>
      </c>
      <c r="B29" t="str">
        <f>HYPERLINK("http://www.ncbi.nlm.nih.gov/protein/XP_016017076.1","XP_016017076.1")</f>
        <v>XP_016017076.1</v>
      </c>
      <c r="C29">
        <v>117142</v>
      </c>
      <c r="D29" t="str">
        <f>HYPERLINK("http://www.ncbi.nlm.nih.gov/Taxonomy/Browser/wwwtax.cgi?mode=Info&amp;id=9407&amp;lvl=3&amp;lin=f&amp;keep=1&amp;srchmode=1&amp;unlock","9407")</f>
        <v>9407</v>
      </c>
      <c r="E29" t="s">
        <v>66</v>
      </c>
      <c r="F29" t="str">
        <f>HYPERLINK("http://www.ncbi.nlm.nih.gov/Taxonomy/Browser/wwwtax.cgi?mode=Info&amp;id=9407&amp;lvl=3&amp;lin=f&amp;keep=1&amp;srchmode=1&amp;unlock","Rousettus aegyptiacus")</f>
        <v>Rousettus aegyptiacus</v>
      </c>
      <c r="G29" t="s">
        <v>103</v>
      </c>
      <c r="H29" t="str">
        <f>HYPERLINK("http://www.ncbi.nlm.nih.gov/protein/XP_016017076.1","40S ribosomal protein S3")</f>
        <v>40S ribosomal protein S3</v>
      </c>
      <c r="I29" t="s">
        <v>68</v>
      </c>
      <c r="J29" t="s">
        <v>69</v>
      </c>
      <c r="K29">
        <v>112</v>
      </c>
      <c r="L29" t="s">
        <v>70</v>
      </c>
      <c r="M29" t="s">
        <v>69</v>
      </c>
      <c r="N29" t="s">
        <v>71</v>
      </c>
      <c r="O29" t="s">
        <v>69</v>
      </c>
      <c r="P29">
        <v>75.066999999999993</v>
      </c>
      <c r="Q29" t="s">
        <v>69</v>
      </c>
      <c r="R29" t="s">
        <v>69</v>
      </c>
      <c r="S29">
        <v>113</v>
      </c>
      <c r="T29" t="s">
        <v>72</v>
      </c>
      <c r="U29" t="s">
        <v>69</v>
      </c>
      <c r="V29" t="s">
        <v>71</v>
      </c>
      <c r="W29" t="s">
        <v>69</v>
      </c>
      <c r="X29">
        <v>131.17500000000001</v>
      </c>
      <c r="Y29" t="s">
        <v>69</v>
      </c>
      <c r="Z29" t="s">
        <v>69</v>
      </c>
      <c r="AA29">
        <v>114</v>
      </c>
      <c r="AB29" t="s">
        <v>73</v>
      </c>
      <c r="AC29" t="s">
        <v>69</v>
      </c>
      <c r="AD29" t="s">
        <v>71</v>
      </c>
      <c r="AE29" t="s">
        <v>69</v>
      </c>
      <c r="AF29">
        <v>89.093999999999994</v>
      </c>
      <c r="AG29" t="s">
        <v>69</v>
      </c>
      <c r="AH29" t="s">
        <v>69</v>
      </c>
      <c r="AI29">
        <v>116</v>
      </c>
      <c r="AJ29" t="s">
        <v>74</v>
      </c>
      <c r="AK29" t="s">
        <v>69</v>
      </c>
      <c r="AL29" t="s">
        <v>75</v>
      </c>
      <c r="AM29" t="s">
        <v>69</v>
      </c>
      <c r="AN29">
        <v>174.203</v>
      </c>
      <c r="AO29" t="s">
        <v>69</v>
      </c>
      <c r="AP29" t="s">
        <v>69</v>
      </c>
      <c r="AQ29">
        <v>117</v>
      </c>
      <c r="AR29" t="s">
        <v>74</v>
      </c>
      <c r="AS29" t="s">
        <v>69</v>
      </c>
      <c r="AT29" t="s">
        <v>75</v>
      </c>
      <c r="AU29" t="s">
        <v>69</v>
      </c>
      <c r="AV29">
        <v>174.203</v>
      </c>
      <c r="AW29" t="s">
        <v>69</v>
      </c>
      <c r="AX29" t="s">
        <v>69</v>
      </c>
      <c r="AY29">
        <v>143</v>
      </c>
      <c r="AZ29" t="s">
        <v>74</v>
      </c>
      <c r="BA29" t="s">
        <v>69</v>
      </c>
      <c r="BB29" t="s">
        <v>75</v>
      </c>
      <c r="BC29" t="s">
        <v>69</v>
      </c>
      <c r="BD29">
        <v>174.203</v>
      </c>
      <c r="BE29" t="s">
        <v>69</v>
      </c>
      <c r="BF29" t="s">
        <v>69</v>
      </c>
      <c r="BG29">
        <v>148</v>
      </c>
      <c r="BH29" t="s">
        <v>76</v>
      </c>
      <c r="BI29" t="s">
        <v>69</v>
      </c>
      <c r="BJ29" t="s">
        <v>75</v>
      </c>
      <c r="BK29" t="s">
        <v>69</v>
      </c>
      <c r="BL29">
        <v>146.18899999999999</v>
      </c>
      <c r="BM29" t="s">
        <v>69</v>
      </c>
      <c r="BN29" t="s">
        <v>69</v>
      </c>
    </row>
    <row r="30" spans="1:66" x14ac:dyDescent="0.25">
      <c r="A30">
        <v>7</v>
      </c>
      <c r="B30" t="str">
        <f>HYPERLINK("http://www.ncbi.nlm.nih.gov/protein/NP_036182.1","NP_036182.1")</f>
        <v>NP_036182.1</v>
      </c>
      <c r="C30">
        <v>337449</v>
      </c>
      <c r="D30" t="str">
        <f>HYPERLINK("http://www.ncbi.nlm.nih.gov/Taxonomy/Browser/wwwtax.cgi?mode=Info&amp;id=10090&amp;lvl=3&amp;lin=f&amp;keep=1&amp;srchmode=1&amp;unlock","10090")</f>
        <v>10090</v>
      </c>
      <c r="E30" t="s">
        <v>66</v>
      </c>
      <c r="F30" t="str">
        <f>HYPERLINK("http://www.ncbi.nlm.nih.gov/Taxonomy/Browser/wwwtax.cgi?mode=Info&amp;id=10090&amp;lvl=3&amp;lin=f&amp;keep=1&amp;srchmode=1&amp;unlock","Mus musculus")</f>
        <v>Mus musculus</v>
      </c>
      <c r="G30" t="s">
        <v>104</v>
      </c>
      <c r="H30" t="str">
        <f>HYPERLINK("http://www.ncbi.nlm.nih.gov/protein/NP_036182.1","40S ribosomal protein S3")</f>
        <v>40S ribosomal protein S3</v>
      </c>
      <c r="I30" t="s">
        <v>68</v>
      </c>
      <c r="J30" t="s">
        <v>69</v>
      </c>
      <c r="K30">
        <v>112</v>
      </c>
      <c r="L30" t="s">
        <v>70</v>
      </c>
      <c r="M30" t="s">
        <v>69</v>
      </c>
      <c r="N30" t="s">
        <v>71</v>
      </c>
      <c r="O30" t="s">
        <v>69</v>
      </c>
      <c r="P30">
        <v>75.066999999999993</v>
      </c>
      <c r="Q30" t="s">
        <v>69</v>
      </c>
      <c r="R30" t="s">
        <v>69</v>
      </c>
      <c r="S30">
        <v>113</v>
      </c>
      <c r="T30" t="s">
        <v>72</v>
      </c>
      <c r="U30" t="s">
        <v>69</v>
      </c>
      <c r="V30" t="s">
        <v>71</v>
      </c>
      <c r="W30" t="s">
        <v>69</v>
      </c>
      <c r="X30">
        <v>131.17500000000001</v>
      </c>
      <c r="Y30" t="s">
        <v>69</v>
      </c>
      <c r="Z30" t="s">
        <v>69</v>
      </c>
      <c r="AA30">
        <v>114</v>
      </c>
      <c r="AB30" t="s">
        <v>73</v>
      </c>
      <c r="AC30" t="s">
        <v>69</v>
      </c>
      <c r="AD30" t="s">
        <v>71</v>
      </c>
      <c r="AE30" t="s">
        <v>69</v>
      </c>
      <c r="AF30">
        <v>89.093999999999994</v>
      </c>
      <c r="AG30" t="s">
        <v>69</v>
      </c>
      <c r="AH30" t="s">
        <v>69</v>
      </c>
      <c r="AI30">
        <v>116</v>
      </c>
      <c r="AJ30" t="s">
        <v>74</v>
      </c>
      <c r="AK30" t="s">
        <v>69</v>
      </c>
      <c r="AL30" t="s">
        <v>75</v>
      </c>
      <c r="AM30" t="s">
        <v>69</v>
      </c>
      <c r="AN30">
        <v>174.203</v>
      </c>
      <c r="AO30" t="s">
        <v>69</v>
      </c>
      <c r="AP30" t="s">
        <v>69</v>
      </c>
      <c r="AQ30">
        <v>117</v>
      </c>
      <c r="AR30" t="s">
        <v>74</v>
      </c>
      <c r="AS30" t="s">
        <v>69</v>
      </c>
      <c r="AT30" t="s">
        <v>75</v>
      </c>
      <c r="AU30" t="s">
        <v>69</v>
      </c>
      <c r="AV30">
        <v>174.203</v>
      </c>
      <c r="AW30" t="s">
        <v>69</v>
      </c>
      <c r="AX30" t="s">
        <v>69</v>
      </c>
      <c r="AY30">
        <v>143</v>
      </c>
      <c r="AZ30" t="s">
        <v>74</v>
      </c>
      <c r="BA30" t="s">
        <v>69</v>
      </c>
      <c r="BB30" t="s">
        <v>75</v>
      </c>
      <c r="BC30" t="s">
        <v>69</v>
      </c>
      <c r="BD30">
        <v>174.203</v>
      </c>
      <c r="BE30" t="s">
        <v>69</v>
      </c>
      <c r="BF30" t="s">
        <v>69</v>
      </c>
      <c r="BG30">
        <v>148</v>
      </c>
      <c r="BH30" t="s">
        <v>76</v>
      </c>
      <c r="BI30" t="s">
        <v>69</v>
      </c>
      <c r="BJ30" t="s">
        <v>75</v>
      </c>
      <c r="BK30" t="s">
        <v>69</v>
      </c>
      <c r="BL30">
        <v>146.18899999999999</v>
      </c>
      <c r="BM30" t="s">
        <v>69</v>
      </c>
      <c r="BN30" t="s">
        <v>69</v>
      </c>
    </row>
    <row r="31" spans="1:66" x14ac:dyDescent="0.25">
      <c r="A31">
        <v>7</v>
      </c>
      <c r="B31" t="str">
        <f>HYPERLINK("http://www.ncbi.nlm.nih.gov/protein/XP_030187663.1","XP_030187663.1")</f>
        <v>XP_030187663.1</v>
      </c>
      <c r="C31">
        <v>42175</v>
      </c>
      <c r="D31" t="str">
        <f>HYPERLINK("http://www.ncbi.nlm.nih.gov/Taxonomy/Browser/wwwtax.cgi?mode=Info&amp;id=61383&amp;lvl=3&amp;lin=f&amp;keep=1&amp;srchmode=1&amp;unlock","61383")</f>
        <v>61383</v>
      </c>
      <c r="E31" t="s">
        <v>66</v>
      </c>
      <c r="F31" t="str">
        <f>HYPERLINK("http://www.ncbi.nlm.nih.gov/Taxonomy/Browser/wwwtax.cgi?mode=Info&amp;id=61383&amp;lvl=3&amp;lin=f&amp;keep=1&amp;srchmode=1&amp;unlock","Lynx canadensis")</f>
        <v>Lynx canadensis</v>
      </c>
      <c r="G31" t="s">
        <v>105</v>
      </c>
      <c r="H31" t="str">
        <f>HYPERLINK("http://www.ncbi.nlm.nih.gov/protein/XP_030187663.1","40S ribosomal protein S3")</f>
        <v>40S ribosomal protein S3</v>
      </c>
      <c r="I31" t="s">
        <v>68</v>
      </c>
      <c r="J31" t="s">
        <v>69</v>
      </c>
      <c r="K31">
        <v>112</v>
      </c>
      <c r="L31" t="s">
        <v>70</v>
      </c>
      <c r="M31" t="s">
        <v>69</v>
      </c>
      <c r="N31" t="s">
        <v>71</v>
      </c>
      <c r="O31" t="s">
        <v>69</v>
      </c>
      <c r="P31">
        <v>75.066999999999993</v>
      </c>
      <c r="Q31" t="s">
        <v>69</v>
      </c>
      <c r="R31" t="s">
        <v>69</v>
      </c>
      <c r="S31">
        <v>113</v>
      </c>
      <c r="T31" t="s">
        <v>72</v>
      </c>
      <c r="U31" t="s">
        <v>69</v>
      </c>
      <c r="V31" t="s">
        <v>71</v>
      </c>
      <c r="W31" t="s">
        <v>69</v>
      </c>
      <c r="X31">
        <v>131.17500000000001</v>
      </c>
      <c r="Y31" t="s">
        <v>69</v>
      </c>
      <c r="Z31" t="s">
        <v>69</v>
      </c>
      <c r="AA31">
        <v>114</v>
      </c>
      <c r="AB31" t="s">
        <v>73</v>
      </c>
      <c r="AC31" t="s">
        <v>69</v>
      </c>
      <c r="AD31" t="s">
        <v>71</v>
      </c>
      <c r="AE31" t="s">
        <v>69</v>
      </c>
      <c r="AF31">
        <v>89.093999999999994</v>
      </c>
      <c r="AG31" t="s">
        <v>69</v>
      </c>
      <c r="AH31" t="s">
        <v>69</v>
      </c>
      <c r="AI31">
        <v>116</v>
      </c>
      <c r="AJ31" t="s">
        <v>74</v>
      </c>
      <c r="AK31" t="s">
        <v>69</v>
      </c>
      <c r="AL31" t="s">
        <v>75</v>
      </c>
      <c r="AM31" t="s">
        <v>69</v>
      </c>
      <c r="AN31">
        <v>174.203</v>
      </c>
      <c r="AO31" t="s">
        <v>69</v>
      </c>
      <c r="AP31" t="s">
        <v>69</v>
      </c>
      <c r="AQ31">
        <v>117</v>
      </c>
      <c r="AR31" t="s">
        <v>74</v>
      </c>
      <c r="AS31" t="s">
        <v>69</v>
      </c>
      <c r="AT31" t="s">
        <v>75</v>
      </c>
      <c r="AU31" t="s">
        <v>69</v>
      </c>
      <c r="AV31">
        <v>174.203</v>
      </c>
      <c r="AW31" t="s">
        <v>69</v>
      </c>
      <c r="AX31" t="s">
        <v>69</v>
      </c>
      <c r="AY31">
        <v>143</v>
      </c>
      <c r="AZ31" t="s">
        <v>74</v>
      </c>
      <c r="BA31" t="s">
        <v>69</v>
      </c>
      <c r="BB31" t="s">
        <v>75</v>
      </c>
      <c r="BC31" t="s">
        <v>69</v>
      </c>
      <c r="BD31">
        <v>174.203</v>
      </c>
      <c r="BE31" t="s">
        <v>69</v>
      </c>
      <c r="BF31" t="s">
        <v>69</v>
      </c>
      <c r="BG31">
        <v>148</v>
      </c>
      <c r="BH31" t="s">
        <v>76</v>
      </c>
      <c r="BI31" t="s">
        <v>69</v>
      </c>
      <c r="BJ31" t="s">
        <v>75</v>
      </c>
      <c r="BK31" t="s">
        <v>69</v>
      </c>
      <c r="BL31">
        <v>146.18899999999999</v>
      </c>
      <c r="BM31" t="s">
        <v>69</v>
      </c>
      <c r="BN31" t="s">
        <v>69</v>
      </c>
    </row>
    <row r="32" spans="1:66" x14ac:dyDescent="0.25">
      <c r="A32">
        <v>7</v>
      </c>
      <c r="B32" t="str">
        <f>HYPERLINK("http://www.ncbi.nlm.nih.gov/protein/XP_003734218.2","XP_003734218.2")</f>
        <v>XP_003734218.2</v>
      </c>
      <c r="C32">
        <v>87664</v>
      </c>
      <c r="D32" t="str">
        <f>HYPERLINK("http://www.ncbi.nlm.nih.gov/Taxonomy/Browser/wwwtax.cgi?mode=Info&amp;id=9483&amp;lvl=3&amp;lin=f&amp;keep=1&amp;srchmode=1&amp;unlock","9483")</f>
        <v>9483</v>
      </c>
      <c r="E32" t="s">
        <v>66</v>
      </c>
      <c r="F32" t="str">
        <f>HYPERLINK("http://www.ncbi.nlm.nih.gov/Taxonomy/Browser/wwwtax.cgi?mode=Info&amp;id=9483&amp;lvl=3&amp;lin=f&amp;keep=1&amp;srchmode=1&amp;unlock","Callithrix jacchus")</f>
        <v>Callithrix jacchus</v>
      </c>
      <c r="G32" t="s">
        <v>106</v>
      </c>
      <c r="H32" t="str">
        <f>HYPERLINK("http://www.ncbi.nlm.nih.gov/protein/XP_003734218.2","40S ribosomal protein S3")</f>
        <v>40S ribosomal protein S3</v>
      </c>
      <c r="I32" t="s">
        <v>68</v>
      </c>
      <c r="J32" t="s">
        <v>69</v>
      </c>
      <c r="K32">
        <v>151</v>
      </c>
      <c r="L32" t="s">
        <v>70</v>
      </c>
      <c r="M32" t="s">
        <v>69</v>
      </c>
      <c r="N32" t="s">
        <v>71</v>
      </c>
      <c r="O32" t="s">
        <v>69</v>
      </c>
      <c r="P32">
        <v>75.066999999999993</v>
      </c>
      <c r="Q32" t="s">
        <v>69</v>
      </c>
      <c r="R32" t="s">
        <v>69</v>
      </c>
      <c r="S32">
        <v>152</v>
      </c>
      <c r="T32" t="s">
        <v>72</v>
      </c>
      <c r="U32" t="s">
        <v>69</v>
      </c>
      <c r="V32" t="s">
        <v>71</v>
      </c>
      <c r="W32" t="s">
        <v>69</v>
      </c>
      <c r="X32">
        <v>131.17500000000001</v>
      </c>
      <c r="Y32" t="s">
        <v>69</v>
      </c>
      <c r="Z32" t="s">
        <v>69</v>
      </c>
      <c r="AA32">
        <v>153</v>
      </c>
      <c r="AB32" t="s">
        <v>73</v>
      </c>
      <c r="AC32" t="s">
        <v>69</v>
      </c>
      <c r="AD32" t="s">
        <v>71</v>
      </c>
      <c r="AE32" t="s">
        <v>69</v>
      </c>
      <c r="AF32">
        <v>89.093999999999994</v>
      </c>
      <c r="AG32" t="s">
        <v>69</v>
      </c>
      <c r="AH32" t="s">
        <v>69</v>
      </c>
      <c r="AI32">
        <v>155</v>
      </c>
      <c r="AJ32" t="s">
        <v>74</v>
      </c>
      <c r="AK32" t="s">
        <v>69</v>
      </c>
      <c r="AL32" t="s">
        <v>75</v>
      </c>
      <c r="AM32" t="s">
        <v>69</v>
      </c>
      <c r="AN32">
        <v>174.203</v>
      </c>
      <c r="AO32" t="s">
        <v>69</v>
      </c>
      <c r="AP32" t="s">
        <v>69</v>
      </c>
      <c r="AQ32">
        <v>156</v>
      </c>
      <c r="AR32" t="s">
        <v>74</v>
      </c>
      <c r="AS32" t="s">
        <v>69</v>
      </c>
      <c r="AT32" t="s">
        <v>75</v>
      </c>
      <c r="AU32" t="s">
        <v>69</v>
      </c>
      <c r="AV32">
        <v>174.203</v>
      </c>
      <c r="AW32" t="s">
        <v>69</v>
      </c>
      <c r="AX32" t="s">
        <v>69</v>
      </c>
      <c r="AY32">
        <v>182</v>
      </c>
      <c r="AZ32" t="s">
        <v>74</v>
      </c>
      <c r="BA32" t="s">
        <v>69</v>
      </c>
      <c r="BB32" t="s">
        <v>75</v>
      </c>
      <c r="BC32" t="s">
        <v>69</v>
      </c>
      <c r="BD32">
        <v>174.203</v>
      </c>
      <c r="BE32" t="s">
        <v>69</v>
      </c>
      <c r="BF32" t="s">
        <v>69</v>
      </c>
      <c r="BG32">
        <v>187</v>
      </c>
      <c r="BH32" t="s">
        <v>76</v>
      </c>
      <c r="BI32" t="s">
        <v>69</v>
      </c>
      <c r="BJ32" t="s">
        <v>75</v>
      </c>
      <c r="BK32" t="s">
        <v>69</v>
      </c>
      <c r="BL32">
        <v>146.18899999999999</v>
      </c>
      <c r="BM32" t="s">
        <v>69</v>
      </c>
      <c r="BN32" t="s">
        <v>69</v>
      </c>
    </row>
    <row r="33" spans="1:66" x14ac:dyDescent="0.25">
      <c r="A33">
        <v>7</v>
      </c>
      <c r="B33" t="str">
        <f>HYPERLINK("http://www.ncbi.nlm.nih.gov/protein/XP_005500667.1","XP_005500667.1")</f>
        <v>XP_005500667.1</v>
      </c>
      <c r="C33">
        <v>50957</v>
      </c>
      <c r="D33" t="str">
        <f>HYPERLINK("http://www.ncbi.nlm.nih.gov/Taxonomy/Browser/wwwtax.cgi?mode=Info&amp;id=8932&amp;lvl=3&amp;lin=f&amp;keep=1&amp;srchmode=1&amp;unlock","8932")</f>
        <v>8932</v>
      </c>
      <c r="E33" t="s">
        <v>107</v>
      </c>
      <c r="F33" t="str">
        <f>HYPERLINK("http://www.ncbi.nlm.nih.gov/Taxonomy/Browser/wwwtax.cgi?mode=Info&amp;id=8932&amp;lvl=3&amp;lin=f&amp;keep=1&amp;srchmode=1&amp;unlock","Columba livia")</f>
        <v>Columba livia</v>
      </c>
      <c r="G33" t="s">
        <v>108</v>
      </c>
      <c r="H33" t="str">
        <f>HYPERLINK("http://www.ncbi.nlm.nih.gov/protein/XP_005500667.1","40S ribosomal protein S3")</f>
        <v>40S ribosomal protein S3</v>
      </c>
      <c r="I33" t="s">
        <v>68</v>
      </c>
      <c r="J33" t="s">
        <v>69</v>
      </c>
      <c r="K33">
        <v>112</v>
      </c>
      <c r="L33" t="s">
        <v>70</v>
      </c>
      <c r="M33" t="s">
        <v>69</v>
      </c>
      <c r="N33" t="s">
        <v>71</v>
      </c>
      <c r="O33" t="s">
        <v>69</v>
      </c>
      <c r="P33">
        <v>75.066999999999993</v>
      </c>
      <c r="Q33" t="s">
        <v>69</v>
      </c>
      <c r="R33" t="s">
        <v>69</v>
      </c>
      <c r="S33">
        <v>113</v>
      </c>
      <c r="T33" t="s">
        <v>72</v>
      </c>
      <c r="U33" t="s">
        <v>69</v>
      </c>
      <c r="V33" t="s">
        <v>71</v>
      </c>
      <c r="W33" t="s">
        <v>69</v>
      </c>
      <c r="X33">
        <v>131.17500000000001</v>
      </c>
      <c r="Y33" t="s">
        <v>69</v>
      </c>
      <c r="Z33" t="s">
        <v>69</v>
      </c>
      <c r="AA33">
        <v>114</v>
      </c>
      <c r="AB33" t="s">
        <v>73</v>
      </c>
      <c r="AC33" t="s">
        <v>69</v>
      </c>
      <c r="AD33" t="s">
        <v>71</v>
      </c>
      <c r="AE33" t="s">
        <v>69</v>
      </c>
      <c r="AF33">
        <v>89.093999999999994</v>
      </c>
      <c r="AG33" t="s">
        <v>69</v>
      </c>
      <c r="AH33" t="s">
        <v>69</v>
      </c>
      <c r="AI33">
        <v>116</v>
      </c>
      <c r="AJ33" t="s">
        <v>74</v>
      </c>
      <c r="AK33" t="s">
        <v>69</v>
      </c>
      <c r="AL33" t="s">
        <v>75</v>
      </c>
      <c r="AM33" t="s">
        <v>69</v>
      </c>
      <c r="AN33">
        <v>174.203</v>
      </c>
      <c r="AO33" t="s">
        <v>69</v>
      </c>
      <c r="AP33" t="s">
        <v>69</v>
      </c>
      <c r="AQ33">
        <v>117</v>
      </c>
      <c r="AR33" t="s">
        <v>74</v>
      </c>
      <c r="AS33" t="s">
        <v>69</v>
      </c>
      <c r="AT33" t="s">
        <v>75</v>
      </c>
      <c r="AU33" t="s">
        <v>69</v>
      </c>
      <c r="AV33">
        <v>174.203</v>
      </c>
      <c r="AW33" t="s">
        <v>69</v>
      </c>
      <c r="AX33" t="s">
        <v>69</v>
      </c>
      <c r="AY33">
        <v>143</v>
      </c>
      <c r="AZ33" t="s">
        <v>74</v>
      </c>
      <c r="BA33" t="s">
        <v>69</v>
      </c>
      <c r="BB33" t="s">
        <v>75</v>
      </c>
      <c r="BC33" t="s">
        <v>69</v>
      </c>
      <c r="BD33">
        <v>174.203</v>
      </c>
      <c r="BE33" t="s">
        <v>69</v>
      </c>
      <c r="BF33" t="s">
        <v>69</v>
      </c>
      <c r="BG33">
        <v>148</v>
      </c>
      <c r="BH33" t="s">
        <v>76</v>
      </c>
      <c r="BI33" t="s">
        <v>69</v>
      </c>
      <c r="BJ33" t="s">
        <v>75</v>
      </c>
      <c r="BK33" t="s">
        <v>69</v>
      </c>
      <c r="BL33">
        <v>146.18899999999999</v>
      </c>
      <c r="BM33" t="s">
        <v>69</v>
      </c>
      <c r="BN33" t="s">
        <v>69</v>
      </c>
    </row>
    <row r="34" spans="1:66" x14ac:dyDescent="0.25">
      <c r="A34">
        <v>7</v>
      </c>
      <c r="B34" t="str">
        <f>HYPERLINK("http://www.ncbi.nlm.nih.gov/protein/XP_006022031.1","XP_006022031.1")</f>
        <v>XP_006022031.1</v>
      </c>
      <c r="C34">
        <v>43404</v>
      </c>
      <c r="D34" t="str">
        <f>HYPERLINK("http://www.ncbi.nlm.nih.gov/Taxonomy/Browser/wwwtax.cgi?mode=Info&amp;id=38654&amp;lvl=3&amp;lin=f&amp;keep=1&amp;srchmode=1&amp;unlock","38654")</f>
        <v>38654</v>
      </c>
      <c r="E34" t="s">
        <v>109</v>
      </c>
      <c r="F34" t="str">
        <f>HYPERLINK("http://www.ncbi.nlm.nih.gov/Taxonomy/Browser/wwwtax.cgi?mode=Info&amp;id=38654&amp;lvl=3&amp;lin=f&amp;keep=1&amp;srchmode=1&amp;unlock","Alligator sinensis")</f>
        <v>Alligator sinensis</v>
      </c>
      <c r="G34" t="s">
        <v>110</v>
      </c>
      <c r="H34" t="str">
        <f>HYPERLINK("http://www.ncbi.nlm.nih.gov/protein/XP_006022031.1","40S ribosomal protein S3")</f>
        <v>40S ribosomal protein S3</v>
      </c>
      <c r="I34" t="s">
        <v>68</v>
      </c>
      <c r="J34" t="s">
        <v>69</v>
      </c>
      <c r="K34">
        <v>112</v>
      </c>
      <c r="L34" t="s">
        <v>70</v>
      </c>
      <c r="M34" t="s">
        <v>69</v>
      </c>
      <c r="N34" t="s">
        <v>71</v>
      </c>
      <c r="O34" t="s">
        <v>69</v>
      </c>
      <c r="P34">
        <v>75.066999999999993</v>
      </c>
      <c r="Q34" t="s">
        <v>69</v>
      </c>
      <c r="R34" t="s">
        <v>69</v>
      </c>
      <c r="S34">
        <v>113</v>
      </c>
      <c r="T34" t="s">
        <v>72</v>
      </c>
      <c r="U34" t="s">
        <v>69</v>
      </c>
      <c r="V34" t="s">
        <v>71</v>
      </c>
      <c r="W34" t="s">
        <v>69</v>
      </c>
      <c r="X34">
        <v>131.17500000000001</v>
      </c>
      <c r="Y34" t="s">
        <v>69</v>
      </c>
      <c r="Z34" t="s">
        <v>69</v>
      </c>
      <c r="AA34">
        <v>114</v>
      </c>
      <c r="AB34" t="s">
        <v>73</v>
      </c>
      <c r="AC34" t="s">
        <v>69</v>
      </c>
      <c r="AD34" t="s">
        <v>71</v>
      </c>
      <c r="AE34" t="s">
        <v>69</v>
      </c>
      <c r="AF34">
        <v>89.093999999999994</v>
      </c>
      <c r="AG34" t="s">
        <v>69</v>
      </c>
      <c r="AH34" t="s">
        <v>69</v>
      </c>
      <c r="AI34">
        <v>116</v>
      </c>
      <c r="AJ34" t="s">
        <v>74</v>
      </c>
      <c r="AK34" t="s">
        <v>69</v>
      </c>
      <c r="AL34" t="s">
        <v>75</v>
      </c>
      <c r="AM34" t="s">
        <v>69</v>
      </c>
      <c r="AN34">
        <v>174.203</v>
      </c>
      <c r="AO34" t="s">
        <v>69</v>
      </c>
      <c r="AP34" t="s">
        <v>69</v>
      </c>
      <c r="AQ34">
        <v>117</v>
      </c>
      <c r="AR34" t="s">
        <v>74</v>
      </c>
      <c r="AS34" t="s">
        <v>69</v>
      </c>
      <c r="AT34" t="s">
        <v>75</v>
      </c>
      <c r="AU34" t="s">
        <v>69</v>
      </c>
      <c r="AV34">
        <v>174.203</v>
      </c>
      <c r="AW34" t="s">
        <v>69</v>
      </c>
      <c r="AX34" t="s">
        <v>69</v>
      </c>
      <c r="AY34">
        <v>143</v>
      </c>
      <c r="AZ34" t="s">
        <v>74</v>
      </c>
      <c r="BA34" t="s">
        <v>69</v>
      </c>
      <c r="BB34" t="s">
        <v>75</v>
      </c>
      <c r="BC34" t="s">
        <v>69</v>
      </c>
      <c r="BD34">
        <v>174.203</v>
      </c>
      <c r="BE34" t="s">
        <v>69</v>
      </c>
      <c r="BF34" t="s">
        <v>69</v>
      </c>
      <c r="BG34">
        <v>148</v>
      </c>
      <c r="BH34" t="s">
        <v>76</v>
      </c>
      <c r="BI34" t="s">
        <v>69</v>
      </c>
      <c r="BJ34" t="s">
        <v>75</v>
      </c>
      <c r="BK34" t="s">
        <v>69</v>
      </c>
      <c r="BL34">
        <v>146.18899999999999</v>
      </c>
      <c r="BM34" t="s">
        <v>69</v>
      </c>
      <c r="BN34" t="s">
        <v>69</v>
      </c>
    </row>
    <row r="35" spans="1:66" x14ac:dyDescent="0.25">
      <c r="A35">
        <v>7</v>
      </c>
      <c r="B35" t="str">
        <f>HYPERLINK("http://www.ncbi.nlm.nih.gov/protein/AAH41299.1","AAH41299.1")</f>
        <v>AAH41299.1</v>
      </c>
      <c r="C35">
        <v>146185</v>
      </c>
      <c r="D35" t="str">
        <f>HYPERLINK("http://www.ncbi.nlm.nih.gov/Taxonomy/Browser/wwwtax.cgi?mode=Info&amp;id=8355&amp;lvl=3&amp;lin=f&amp;keep=1&amp;srchmode=1&amp;unlock","8355")</f>
        <v>8355</v>
      </c>
      <c r="E35" t="s">
        <v>111</v>
      </c>
      <c r="F35" t="str">
        <f>HYPERLINK("http://www.ncbi.nlm.nih.gov/Taxonomy/Browser/wwwtax.cgi?mode=Info&amp;id=8355&amp;lvl=3&amp;lin=f&amp;keep=1&amp;srchmode=1&amp;unlock","Xenopus laevis")</f>
        <v>Xenopus laevis</v>
      </c>
      <c r="G35" t="s">
        <v>112</v>
      </c>
      <c r="H35" t="str">
        <f>HYPERLINK("http://www.ncbi.nlm.nih.gov/protein/AAH41299.1","Rpls3-b protein")</f>
        <v>Rpls3-b protein</v>
      </c>
      <c r="I35" t="s">
        <v>68</v>
      </c>
      <c r="J35" t="s">
        <v>69</v>
      </c>
      <c r="K35">
        <v>112</v>
      </c>
      <c r="L35" t="s">
        <v>70</v>
      </c>
      <c r="M35" t="s">
        <v>69</v>
      </c>
      <c r="N35" t="s">
        <v>71</v>
      </c>
      <c r="O35" t="s">
        <v>69</v>
      </c>
      <c r="P35">
        <v>75.066999999999993</v>
      </c>
      <c r="Q35" t="s">
        <v>69</v>
      </c>
      <c r="R35" t="s">
        <v>69</v>
      </c>
      <c r="S35">
        <v>113</v>
      </c>
      <c r="T35" t="s">
        <v>72</v>
      </c>
      <c r="U35" t="s">
        <v>69</v>
      </c>
      <c r="V35" t="s">
        <v>71</v>
      </c>
      <c r="W35" t="s">
        <v>69</v>
      </c>
      <c r="X35">
        <v>131.17500000000001</v>
      </c>
      <c r="Y35" t="s">
        <v>69</v>
      </c>
      <c r="Z35" t="s">
        <v>69</v>
      </c>
      <c r="AA35">
        <v>114</v>
      </c>
      <c r="AB35" t="s">
        <v>73</v>
      </c>
      <c r="AC35" t="s">
        <v>69</v>
      </c>
      <c r="AD35" t="s">
        <v>71</v>
      </c>
      <c r="AE35" t="s">
        <v>69</v>
      </c>
      <c r="AF35">
        <v>89.093999999999994</v>
      </c>
      <c r="AG35" t="s">
        <v>69</v>
      </c>
      <c r="AH35" t="s">
        <v>69</v>
      </c>
      <c r="AI35">
        <v>116</v>
      </c>
      <c r="AJ35" t="s">
        <v>74</v>
      </c>
      <c r="AK35" t="s">
        <v>69</v>
      </c>
      <c r="AL35" t="s">
        <v>75</v>
      </c>
      <c r="AM35" t="s">
        <v>69</v>
      </c>
      <c r="AN35">
        <v>174.203</v>
      </c>
      <c r="AO35" t="s">
        <v>69</v>
      </c>
      <c r="AP35" t="s">
        <v>69</v>
      </c>
      <c r="AQ35">
        <v>117</v>
      </c>
      <c r="AR35" t="s">
        <v>74</v>
      </c>
      <c r="AS35" t="s">
        <v>69</v>
      </c>
      <c r="AT35" t="s">
        <v>75</v>
      </c>
      <c r="AU35" t="s">
        <v>69</v>
      </c>
      <c r="AV35">
        <v>174.203</v>
      </c>
      <c r="AW35" t="s">
        <v>69</v>
      </c>
      <c r="AX35" t="s">
        <v>69</v>
      </c>
      <c r="AY35">
        <v>143</v>
      </c>
      <c r="AZ35" t="s">
        <v>74</v>
      </c>
      <c r="BA35" t="s">
        <v>69</v>
      </c>
      <c r="BB35" t="s">
        <v>75</v>
      </c>
      <c r="BC35" t="s">
        <v>69</v>
      </c>
      <c r="BD35">
        <v>174.203</v>
      </c>
      <c r="BE35" t="s">
        <v>69</v>
      </c>
      <c r="BF35" t="s">
        <v>69</v>
      </c>
      <c r="BG35">
        <v>148</v>
      </c>
      <c r="BH35" t="s">
        <v>76</v>
      </c>
      <c r="BI35" t="s">
        <v>69</v>
      </c>
      <c r="BJ35" t="s">
        <v>75</v>
      </c>
      <c r="BK35" t="s">
        <v>69</v>
      </c>
      <c r="BL35">
        <v>146.18899999999999</v>
      </c>
      <c r="BM35" t="s">
        <v>69</v>
      </c>
      <c r="BN35" t="s">
        <v>69</v>
      </c>
    </row>
    <row r="36" spans="1:66" x14ac:dyDescent="0.25">
      <c r="A36">
        <v>7</v>
      </c>
      <c r="B36" t="str">
        <f>HYPERLINK("http://www.ncbi.nlm.nih.gov/protein/XP_039519649.1","XP_039519649.1")</f>
        <v>XP_039519649.1</v>
      </c>
      <c r="C36">
        <v>96114</v>
      </c>
      <c r="D36" t="str">
        <f>HYPERLINK("http://www.ncbi.nlm.nih.gov/Taxonomy/Browser/wwwtax.cgi?mode=Info&amp;id=90988&amp;lvl=3&amp;lin=f&amp;keep=1&amp;srchmode=1&amp;unlock","90988")</f>
        <v>90988</v>
      </c>
      <c r="E36" t="s">
        <v>113</v>
      </c>
      <c r="F36" t="str">
        <f>HYPERLINK("http://www.ncbi.nlm.nih.gov/Taxonomy/Browser/wwwtax.cgi?mode=Info&amp;id=90988&amp;lvl=3&amp;lin=f&amp;keep=1&amp;srchmode=1&amp;unlock","Pimephales promelas")</f>
        <v>Pimephales promelas</v>
      </c>
      <c r="G36" t="s">
        <v>114</v>
      </c>
      <c r="H36" t="str">
        <f>HYPERLINK("http://www.ncbi.nlm.nih.gov/protein/XP_039519649.1","40S ribosomal protein S3")</f>
        <v>40S ribosomal protein S3</v>
      </c>
      <c r="I36" t="s">
        <v>68</v>
      </c>
      <c r="J36" t="s">
        <v>69</v>
      </c>
      <c r="K36">
        <v>112</v>
      </c>
      <c r="L36" t="s">
        <v>70</v>
      </c>
      <c r="M36" t="s">
        <v>69</v>
      </c>
      <c r="N36" t="s">
        <v>71</v>
      </c>
      <c r="O36" t="s">
        <v>69</v>
      </c>
      <c r="P36">
        <v>75.066999999999993</v>
      </c>
      <c r="Q36" t="s">
        <v>69</v>
      </c>
      <c r="R36" t="s">
        <v>69</v>
      </c>
      <c r="S36">
        <v>113</v>
      </c>
      <c r="T36" t="s">
        <v>72</v>
      </c>
      <c r="U36" t="s">
        <v>69</v>
      </c>
      <c r="V36" t="s">
        <v>71</v>
      </c>
      <c r="W36" t="s">
        <v>69</v>
      </c>
      <c r="X36">
        <v>131.17500000000001</v>
      </c>
      <c r="Y36" t="s">
        <v>69</v>
      </c>
      <c r="Z36" t="s">
        <v>69</v>
      </c>
      <c r="AA36">
        <v>114</v>
      </c>
      <c r="AB36" t="s">
        <v>73</v>
      </c>
      <c r="AC36" t="s">
        <v>69</v>
      </c>
      <c r="AD36" t="s">
        <v>71</v>
      </c>
      <c r="AE36" t="s">
        <v>69</v>
      </c>
      <c r="AF36">
        <v>89.093999999999994</v>
      </c>
      <c r="AG36" t="s">
        <v>69</v>
      </c>
      <c r="AH36" t="s">
        <v>69</v>
      </c>
      <c r="AI36">
        <v>116</v>
      </c>
      <c r="AJ36" t="s">
        <v>74</v>
      </c>
      <c r="AK36" t="s">
        <v>69</v>
      </c>
      <c r="AL36" t="s">
        <v>75</v>
      </c>
      <c r="AM36" t="s">
        <v>69</v>
      </c>
      <c r="AN36">
        <v>174.203</v>
      </c>
      <c r="AO36" t="s">
        <v>69</v>
      </c>
      <c r="AP36" t="s">
        <v>69</v>
      </c>
      <c r="AQ36">
        <v>117</v>
      </c>
      <c r="AR36" t="s">
        <v>74</v>
      </c>
      <c r="AS36" t="s">
        <v>69</v>
      </c>
      <c r="AT36" t="s">
        <v>75</v>
      </c>
      <c r="AU36" t="s">
        <v>69</v>
      </c>
      <c r="AV36">
        <v>174.203</v>
      </c>
      <c r="AW36" t="s">
        <v>69</v>
      </c>
      <c r="AX36" t="s">
        <v>69</v>
      </c>
      <c r="AY36">
        <v>143</v>
      </c>
      <c r="AZ36" t="s">
        <v>74</v>
      </c>
      <c r="BA36" t="s">
        <v>69</v>
      </c>
      <c r="BB36" t="s">
        <v>75</v>
      </c>
      <c r="BC36" t="s">
        <v>69</v>
      </c>
      <c r="BD36">
        <v>174.203</v>
      </c>
      <c r="BE36" t="s">
        <v>69</v>
      </c>
      <c r="BF36" t="s">
        <v>69</v>
      </c>
      <c r="BG36">
        <v>148</v>
      </c>
      <c r="BH36" t="s">
        <v>76</v>
      </c>
      <c r="BI36" t="s">
        <v>69</v>
      </c>
      <c r="BJ36" t="s">
        <v>75</v>
      </c>
      <c r="BK36" t="s">
        <v>69</v>
      </c>
      <c r="BL36">
        <v>146.18899999999999</v>
      </c>
      <c r="BM36" t="s">
        <v>69</v>
      </c>
      <c r="BN36" t="s">
        <v>69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4"/>
  <sheetViews>
    <sheetView workbookViewId="0"/>
  </sheetViews>
  <sheetFormatPr defaultRowHeight="15" x14ac:dyDescent="0.25"/>
  <cols>
    <col min="8" max="8" width="28.85546875" customWidth="1"/>
  </cols>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row>
    <row r="2" spans="1:74" x14ac:dyDescent="0.25">
      <c r="A2">
        <v>7</v>
      </c>
      <c r="B2" t="str">
        <f>HYPERLINK("http://www.ncbi.nlm.nih.gov/protein/NP_003630.1","NP_003630.1")</f>
        <v>NP_003630.1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HYPERLINK("http://www.ncbi.nlm.nih.gov/protein/NP_003630.1","NF-kappa-B essential modulator isoform a")</f>
        <v>NF-kappa-B essential modulator isoform a</v>
      </c>
      <c r="I2" t="s">
        <v>265</v>
      </c>
      <c r="J2" t="s">
        <v>69</v>
      </c>
      <c r="K2">
        <v>226</v>
      </c>
      <c r="L2" t="s">
        <v>76</v>
      </c>
      <c r="M2" t="s">
        <v>69</v>
      </c>
      <c r="N2" t="s">
        <v>75</v>
      </c>
      <c r="O2" t="s">
        <v>69</v>
      </c>
      <c r="P2">
        <v>146.18899999999999</v>
      </c>
      <c r="Q2" t="s">
        <v>69</v>
      </c>
      <c r="R2" t="s">
        <v>69</v>
      </c>
      <c r="S2">
        <v>228</v>
      </c>
      <c r="T2" t="s">
        <v>73</v>
      </c>
      <c r="U2" t="s">
        <v>69</v>
      </c>
      <c r="V2" t="s">
        <v>71</v>
      </c>
      <c r="W2" t="s">
        <v>69</v>
      </c>
      <c r="X2">
        <v>89.093999999999994</v>
      </c>
      <c r="Y2" t="s">
        <v>69</v>
      </c>
      <c r="Z2" t="s">
        <v>69</v>
      </c>
      <c r="AA2">
        <v>229</v>
      </c>
      <c r="AB2" t="s">
        <v>147</v>
      </c>
      <c r="AC2" t="s">
        <v>69</v>
      </c>
      <c r="AD2" t="s">
        <v>148</v>
      </c>
      <c r="AE2" t="s">
        <v>69</v>
      </c>
      <c r="AF2">
        <v>146.14599999999999</v>
      </c>
      <c r="AG2" t="s">
        <v>69</v>
      </c>
      <c r="AH2" t="s">
        <v>69</v>
      </c>
      <c r="AI2">
        <v>230</v>
      </c>
      <c r="AJ2" t="s">
        <v>72</v>
      </c>
      <c r="AK2" t="s">
        <v>69</v>
      </c>
      <c r="AL2" t="s">
        <v>71</v>
      </c>
      <c r="AM2" t="s">
        <v>69</v>
      </c>
      <c r="AN2">
        <v>131.17500000000001</v>
      </c>
      <c r="AO2" t="s">
        <v>69</v>
      </c>
      <c r="AP2" t="s">
        <v>69</v>
      </c>
      <c r="AQ2">
        <v>231</v>
      </c>
      <c r="AR2" t="s">
        <v>147</v>
      </c>
      <c r="AS2" t="s">
        <v>69</v>
      </c>
      <c r="AT2" t="s">
        <v>148</v>
      </c>
      <c r="AU2" t="s">
        <v>69</v>
      </c>
      <c r="AV2">
        <v>146.14599999999999</v>
      </c>
      <c r="AW2" t="s">
        <v>69</v>
      </c>
      <c r="AX2" t="s">
        <v>69</v>
      </c>
      <c r="AY2">
        <v>232</v>
      </c>
      <c r="AZ2" t="s">
        <v>115</v>
      </c>
      <c r="BA2" t="s">
        <v>69</v>
      </c>
      <c r="BB2" t="s">
        <v>71</v>
      </c>
      <c r="BC2" t="s">
        <v>69</v>
      </c>
      <c r="BD2">
        <v>117.148</v>
      </c>
      <c r="BE2" t="s">
        <v>69</v>
      </c>
      <c r="BF2" t="s">
        <v>69</v>
      </c>
      <c r="BG2">
        <v>233</v>
      </c>
      <c r="BH2" t="s">
        <v>73</v>
      </c>
      <c r="BI2" t="s">
        <v>69</v>
      </c>
      <c r="BJ2" t="s">
        <v>71</v>
      </c>
      <c r="BK2" t="s">
        <v>69</v>
      </c>
      <c r="BL2">
        <v>89.093999999999994</v>
      </c>
      <c r="BM2" t="s">
        <v>69</v>
      </c>
      <c r="BN2" t="s">
        <v>69</v>
      </c>
      <c r="BO2">
        <v>234</v>
      </c>
      <c r="BP2" t="s">
        <v>69</v>
      </c>
      <c r="BQ2" t="s">
        <v>69</v>
      </c>
      <c r="BR2" t="s">
        <v>152</v>
      </c>
      <c r="BS2" t="s">
        <v>69</v>
      </c>
      <c r="BT2">
        <v>181.191</v>
      </c>
      <c r="BU2" t="s">
        <v>69</v>
      </c>
      <c r="BV2" t="s">
        <v>69</v>
      </c>
    </row>
    <row r="3" spans="1:74" x14ac:dyDescent="0.25">
      <c r="A3">
        <v>7</v>
      </c>
      <c r="B3" t="str">
        <f>HYPERLINK("http://www.ncbi.nlm.nih.gov/protein/XP_004065190.1","XP_004065190.1")</f>
        <v>XP_004065190.1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HYPERLINK("http://www.ncbi.nlm.nih.gov/protein/XP_004065190.1","NF-kappa-B essential modulator isoform X1")</f>
        <v>NF-kappa-B essential modulator isoform X1</v>
      </c>
      <c r="I3" t="s">
        <v>265</v>
      </c>
      <c r="J3" t="s">
        <v>69</v>
      </c>
      <c r="K3">
        <v>226</v>
      </c>
      <c r="L3" t="s">
        <v>76</v>
      </c>
      <c r="M3" t="s">
        <v>69</v>
      </c>
      <c r="N3" t="s">
        <v>75</v>
      </c>
      <c r="O3" t="s">
        <v>69</v>
      </c>
      <c r="P3">
        <v>146.18899999999999</v>
      </c>
      <c r="Q3" t="s">
        <v>69</v>
      </c>
      <c r="R3" t="s">
        <v>69</v>
      </c>
      <c r="S3">
        <v>228</v>
      </c>
      <c r="T3" t="s">
        <v>73</v>
      </c>
      <c r="U3" t="s">
        <v>69</v>
      </c>
      <c r="V3" t="s">
        <v>71</v>
      </c>
      <c r="W3" t="s">
        <v>69</v>
      </c>
      <c r="X3">
        <v>89.093999999999994</v>
      </c>
      <c r="Y3" t="s">
        <v>69</v>
      </c>
      <c r="Z3" t="s">
        <v>69</v>
      </c>
      <c r="AA3">
        <v>229</v>
      </c>
      <c r="AB3" t="s">
        <v>147</v>
      </c>
      <c r="AC3" t="s">
        <v>69</v>
      </c>
      <c r="AD3" t="s">
        <v>148</v>
      </c>
      <c r="AE3" t="s">
        <v>69</v>
      </c>
      <c r="AF3">
        <v>146.14599999999999</v>
      </c>
      <c r="AG3" t="s">
        <v>69</v>
      </c>
      <c r="AH3" t="s">
        <v>69</v>
      </c>
      <c r="AI3">
        <v>230</v>
      </c>
      <c r="AJ3" t="s">
        <v>72</v>
      </c>
      <c r="AK3" t="s">
        <v>69</v>
      </c>
      <c r="AL3" t="s">
        <v>71</v>
      </c>
      <c r="AM3" t="s">
        <v>69</v>
      </c>
      <c r="AN3">
        <v>131.17500000000001</v>
      </c>
      <c r="AO3" t="s">
        <v>69</v>
      </c>
      <c r="AP3" t="s">
        <v>69</v>
      </c>
      <c r="AQ3">
        <v>231</v>
      </c>
      <c r="AR3" t="s">
        <v>147</v>
      </c>
      <c r="AS3" t="s">
        <v>69</v>
      </c>
      <c r="AT3" t="s">
        <v>148</v>
      </c>
      <c r="AU3" t="s">
        <v>69</v>
      </c>
      <c r="AV3">
        <v>146.14599999999999</v>
      </c>
      <c r="AW3" t="s">
        <v>69</v>
      </c>
      <c r="AX3" t="s">
        <v>69</v>
      </c>
      <c r="AY3">
        <v>232</v>
      </c>
      <c r="AZ3" t="s">
        <v>115</v>
      </c>
      <c r="BA3" t="s">
        <v>69</v>
      </c>
      <c r="BB3" t="s">
        <v>71</v>
      </c>
      <c r="BC3" t="s">
        <v>69</v>
      </c>
      <c r="BD3">
        <v>117.148</v>
      </c>
      <c r="BE3" t="s">
        <v>69</v>
      </c>
      <c r="BF3" t="s">
        <v>69</v>
      </c>
      <c r="BG3">
        <v>233</v>
      </c>
      <c r="BH3" t="s">
        <v>73</v>
      </c>
      <c r="BI3" t="s">
        <v>69</v>
      </c>
      <c r="BJ3" t="s">
        <v>71</v>
      </c>
      <c r="BK3" t="s">
        <v>69</v>
      </c>
      <c r="BL3">
        <v>89.093999999999994</v>
      </c>
      <c r="BM3" t="s">
        <v>69</v>
      </c>
      <c r="BN3" t="s">
        <v>69</v>
      </c>
      <c r="BO3">
        <v>234</v>
      </c>
      <c r="BP3" t="s">
        <v>69</v>
      </c>
      <c r="BQ3" t="s">
        <v>69</v>
      </c>
      <c r="BR3" t="s">
        <v>152</v>
      </c>
      <c r="BS3" t="s">
        <v>69</v>
      </c>
      <c r="BT3">
        <v>181.191</v>
      </c>
      <c r="BU3" t="s">
        <v>69</v>
      </c>
      <c r="BV3" t="s">
        <v>69</v>
      </c>
    </row>
    <row r="4" spans="1:74" x14ac:dyDescent="0.25">
      <c r="A4">
        <v>7</v>
      </c>
      <c r="B4" t="str">
        <f>HYPERLINK("http://www.ncbi.nlm.nih.gov/protein/NP_001162519.1","NP_001162519.1")</f>
        <v>NP_001162519.1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HYPERLINK("http://www.ncbi.nlm.nih.gov/protein/NP_001162519.1","inhibitor of kappa light polypeptide gene enhancer in B-cells, kinase gamma")</f>
        <v>inhibitor of kappa light polypeptide gene enhancer in B-cells, kinase gamma</v>
      </c>
      <c r="I4" t="s">
        <v>265</v>
      </c>
      <c r="J4" t="s">
        <v>69</v>
      </c>
      <c r="K4">
        <v>226</v>
      </c>
      <c r="L4" t="s">
        <v>76</v>
      </c>
      <c r="M4" t="s">
        <v>69</v>
      </c>
      <c r="N4" t="s">
        <v>75</v>
      </c>
      <c r="O4" t="s">
        <v>69</v>
      </c>
      <c r="P4">
        <v>146.18899999999999</v>
      </c>
      <c r="Q4" t="s">
        <v>69</v>
      </c>
      <c r="R4" t="s">
        <v>69</v>
      </c>
      <c r="S4">
        <v>228</v>
      </c>
      <c r="T4" t="s">
        <v>73</v>
      </c>
      <c r="U4" t="s">
        <v>69</v>
      </c>
      <c r="V4" t="s">
        <v>71</v>
      </c>
      <c r="W4" t="s">
        <v>69</v>
      </c>
      <c r="X4">
        <v>89.093999999999994</v>
      </c>
      <c r="Y4" t="s">
        <v>69</v>
      </c>
      <c r="Z4" t="s">
        <v>69</v>
      </c>
      <c r="AA4">
        <v>229</v>
      </c>
      <c r="AB4" t="s">
        <v>147</v>
      </c>
      <c r="AC4" t="s">
        <v>69</v>
      </c>
      <c r="AD4" t="s">
        <v>148</v>
      </c>
      <c r="AE4" t="s">
        <v>69</v>
      </c>
      <c r="AF4">
        <v>146.14599999999999</v>
      </c>
      <c r="AG4" t="s">
        <v>69</v>
      </c>
      <c r="AH4" t="s">
        <v>69</v>
      </c>
      <c r="AI4">
        <v>230</v>
      </c>
      <c r="AJ4" t="s">
        <v>72</v>
      </c>
      <c r="AK4" t="s">
        <v>69</v>
      </c>
      <c r="AL4" t="s">
        <v>71</v>
      </c>
      <c r="AM4" t="s">
        <v>69</v>
      </c>
      <c r="AN4">
        <v>131.17500000000001</v>
      </c>
      <c r="AO4" t="s">
        <v>69</v>
      </c>
      <c r="AP4" t="s">
        <v>69</v>
      </c>
      <c r="AQ4">
        <v>231</v>
      </c>
      <c r="AR4" t="s">
        <v>147</v>
      </c>
      <c r="AS4" t="s">
        <v>69</v>
      </c>
      <c r="AT4" t="s">
        <v>148</v>
      </c>
      <c r="AU4" t="s">
        <v>69</v>
      </c>
      <c r="AV4">
        <v>146.14599999999999</v>
      </c>
      <c r="AW4" t="s">
        <v>69</v>
      </c>
      <c r="AX4" t="s">
        <v>69</v>
      </c>
      <c r="AY4">
        <v>232</v>
      </c>
      <c r="AZ4" t="s">
        <v>115</v>
      </c>
      <c r="BA4" t="s">
        <v>69</v>
      </c>
      <c r="BB4" t="s">
        <v>71</v>
      </c>
      <c r="BC4" t="s">
        <v>69</v>
      </c>
      <c r="BD4">
        <v>117.148</v>
      </c>
      <c r="BE4" t="s">
        <v>69</v>
      </c>
      <c r="BF4" t="s">
        <v>69</v>
      </c>
      <c r="BG4">
        <v>233</v>
      </c>
      <c r="BH4" t="s">
        <v>73</v>
      </c>
      <c r="BI4" t="s">
        <v>69</v>
      </c>
      <c r="BJ4" t="s">
        <v>71</v>
      </c>
      <c r="BK4" t="s">
        <v>69</v>
      </c>
      <c r="BL4">
        <v>89.093999999999994</v>
      </c>
      <c r="BM4" t="s">
        <v>69</v>
      </c>
      <c r="BN4" t="s">
        <v>69</v>
      </c>
      <c r="BO4">
        <v>234</v>
      </c>
      <c r="BP4" t="s">
        <v>69</v>
      </c>
      <c r="BQ4" t="s">
        <v>69</v>
      </c>
      <c r="BR4" t="s">
        <v>152</v>
      </c>
      <c r="BS4" t="s">
        <v>69</v>
      </c>
      <c r="BT4">
        <v>181.191</v>
      </c>
      <c r="BU4" t="s">
        <v>69</v>
      </c>
      <c r="BV4" t="s">
        <v>69</v>
      </c>
    </row>
    <row r="5" spans="1:74" x14ac:dyDescent="0.25">
      <c r="A5">
        <v>7</v>
      </c>
      <c r="B5" t="str">
        <f>HYPERLINK("http://www.ncbi.nlm.nih.gov/protein/XP_001095498.2","XP_001095498.2")</f>
        <v>XP_001095498.2</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HYPERLINK("http://www.ncbi.nlm.nih.gov/protein/XP_001095498.2","NF-kappa-B essential modulator isoform X1")</f>
        <v>NF-kappa-B essential modulator isoform X1</v>
      </c>
      <c r="I5" t="s">
        <v>265</v>
      </c>
      <c r="J5" t="s">
        <v>69</v>
      </c>
      <c r="K5">
        <v>226</v>
      </c>
      <c r="L5" t="s">
        <v>76</v>
      </c>
      <c r="M5" t="s">
        <v>69</v>
      </c>
      <c r="N5" t="s">
        <v>75</v>
      </c>
      <c r="O5" t="s">
        <v>69</v>
      </c>
      <c r="P5">
        <v>146.18899999999999</v>
      </c>
      <c r="Q5" t="s">
        <v>69</v>
      </c>
      <c r="R5" t="s">
        <v>69</v>
      </c>
      <c r="S5">
        <v>228</v>
      </c>
      <c r="T5" t="s">
        <v>73</v>
      </c>
      <c r="U5" t="s">
        <v>69</v>
      </c>
      <c r="V5" t="s">
        <v>71</v>
      </c>
      <c r="W5" t="s">
        <v>69</v>
      </c>
      <c r="X5">
        <v>89.093999999999994</v>
      </c>
      <c r="Y5" t="s">
        <v>69</v>
      </c>
      <c r="Z5" t="s">
        <v>69</v>
      </c>
      <c r="AA5">
        <v>229</v>
      </c>
      <c r="AB5" t="s">
        <v>147</v>
      </c>
      <c r="AC5" t="s">
        <v>69</v>
      </c>
      <c r="AD5" t="s">
        <v>148</v>
      </c>
      <c r="AE5" t="s">
        <v>69</v>
      </c>
      <c r="AF5">
        <v>146.14599999999999</v>
      </c>
      <c r="AG5" t="s">
        <v>69</v>
      </c>
      <c r="AH5" t="s">
        <v>69</v>
      </c>
      <c r="AI5">
        <v>230</v>
      </c>
      <c r="AJ5" t="s">
        <v>72</v>
      </c>
      <c r="AK5" t="s">
        <v>69</v>
      </c>
      <c r="AL5" t="s">
        <v>71</v>
      </c>
      <c r="AM5" t="s">
        <v>69</v>
      </c>
      <c r="AN5">
        <v>131.17500000000001</v>
      </c>
      <c r="AO5" t="s">
        <v>69</v>
      </c>
      <c r="AP5" t="s">
        <v>69</v>
      </c>
      <c r="AQ5">
        <v>231</v>
      </c>
      <c r="AR5" t="s">
        <v>147</v>
      </c>
      <c r="AS5" t="s">
        <v>69</v>
      </c>
      <c r="AT5" t="s">
        <v>148</v>
      </c>
      <c r="AU5" t="s">
        <v>69</v>
      </c>
      <c r="AV5">
        <v>146.14599999999999</v>
      </c>
      <c r="AW5" t="s">
        <v>69</v>
      </c>
      <c r="AX5" t="s">
        <v>69</v>
      </c>
      <c r="AY5">
        <v>232</v>
      </c>
      <c r="AZ5" t="s">
        <v>115</v>
      </c>
      <c r="BA5" t="s">
        <v>69</v>
      </c>
      <c r="BB5" t="s">
        <v>71</v>
      </c>
      <c r="BC5" t="s">
        <v>69</v>
      </c>
      <c r="BD5">
        <v>117.148</v>
      </c>
      <c r="BE5" t="s">
        <v>69</v>
      </c>
      <c r="BF5" t="s">
        <v>69</v>
      </c>
      <c r="BG5">
        <v>233</v>
      </c>
      <c r="BH5" t="s">
        <v>73</v>
      </c>
      <c r="BI5" t="s">
        <v>69</v>
      </c>
      <c r="BJ5" t="s">
        <v>71</v>
      </c>
      <c r="BK5" t="s">
        <v>69</v>
      </c>
      <c r="BL5">
        <v>89.093999999999994</v>
      </c>
      <c r="BM5" t="s">
        <v>69</v>
      </c>
      <c r="BN5" t="s">
        <v>69</v>
      </c>
      <c r="BO5">
        <v>234</v>
      </c>
      <c r="BP5" t="s">
        <v>69</v>
      </c>
      <c r="BQ5" t="s">
        <v>69</v>
      </c>
      <c r="BR5" t="s">
        <v>152</v>
      </c>
      <c r="BS5" t="s">
        <v>69</v>
      </c>
      <c r="BT5">
        <v>181.191</v>
      </c>
      <c r="BU5" t="s">
        <v>69</v>
      </c>
      <c r="BV5" t="s">
        <v>69</v>
      </c>
    </row>
    <row r="6" spans="1:74" x14ac:dyDescent="0.25">
      <c r="A6">
        <v>7</v>
      </c>
      <c r="B6" t="str">
        <f>HYPERLINK("http://www.ncbi.nlm.nih.gov/protein/XP_007991348.2","XP_007991348.2")</f>
        <v>XP_007991348.2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HYPERLINK("http://www.ncbi.nlm.nih.gov/protein/XP_007991348.2","LOW QUALITY PROTEIN: NF-kappa-B essential modulator")</f>
        <v>LOW QUALITY PROTEIN: NF-kappa-B essential modulator</v>
      </c>
      <c r="I6" t="s">
        <v>265</v>
      </c>
      <c r="J6" t="s">
        <v>69</v>
      </c>
      <c r="K6">
        <v>237</v>
      </c>
      <c r="L6" t="s">
        <v>76</v>
      </c>
      <c r="M6" t="s">
        <v>69</v>
      </c>
      <c r="N6" t="s">
        <v>75</v>
      </c>
      <c r="O6" t="s">
        <v>69</v>
      </c>
      <c r="P6">
        <v>146.18899999999999</v>
      </c>
      <c r="Q6" t="s">
        <v>69</v>
      </c>
      <c r="R6" t="s">
        <v>69</v>
      </c>
      <c r="S6">
        <v>239</v>
      </c>
      <c r="T6" t="s">
        <v>73</v>
      </c>
      <c r="U6" t="s">
        <v>69</v>
      </c>
      <c r="V6" t="s">
        <v>71</v>
      </c>
      <c r="W6" t="s">
        <v>69</v>
      </c>
      <c r="X6">
        <v>89.093999999999994</v>
      </c>
      <c r="Y6" t="s">
        <v>69</v>
      </c>
      <c r="Z6" t="s">
        <v>69</v>
      </c>
      <c r="AA6">
        <v>240</v>
      </c>
      <c r="AB6" t="s">
        <v>147</v>
      </c>
      <c r="AC6" t="s">
        <v>69</v>
      </c>
      <c r="AD6" t="s">
        <v>148</v>
      </c>
      <c r="AE6" t="s">
        <v>69</v>
      </c>
      <c r="AF6">
        <v>146.14599999999999</v>
      </c>
      <c r="AG6" t="s">
        <v>69</v>
      </c>
      <c r="AH6" t="s">
        <v>69</v>
      </c>
      <c r="AI6">
        <v>241</v>
      </c>
      <c r="AJ6" t="s">
        <v>72</v>
      </c>
      <c r="AK6" t="s">
        <v>69</v>
      </c>
      <c r="AL6" t="s">
        <v>71</v>
      </c>
      <c r="AM6" t="s">
        <v>69</v>
      </c>
      <c r="AN6">
        <v>131.17500000000001</v>
      </c>
      <c r="AO6" t="s">
        <v>69</v>
      </c>
      <c r="AP6" t="s">
        <v>69</v>
      </c>
      <c r="AQ6">
        <v>242</v>
      </c>
      <c r="AR6" t="s">
        <v>147</v>
      </c>
      <c r="AS6" t="s">
        <v>69</v>
      </c>
      <c r="AT6" t="s">
        <v>148</v>
      </c>
      <c r="AU6" t="s">
        <v>69</v>
      </c>
      <c r="AV6">
        <v>146.14599999999999</v>
      </c>
      <c r="AW6" t="s">
        <v>69</v>
      </c>
      <c r="AX6" t="s">
        <v>69</v>
      </c>
      <c r="AY6">
        <v>243</v>
      </c>
      <c r="AZ6" t="s">
        <v>115</v>
      </c>
      <c r="BA6" t="s">
        <v>69</v>
      </c>
      <c r="BB6" t="s">
        <v>71</v>
      </c>
      <c r="BC6" t="s">
        <v>69</v>
      </c>
      <c r="BD6">
        <v>117.148</v>
      </c>
      <c r="BE6" t="s">
        <v>69</v>
      </c>
      <c r="BF6" t="s">
        <v>69</v>
      </c>
      <c r="BG6">
        <v>244</v>
      </c>
      <c r="BH6" t="s">
        <v>73</v>
      </c>
      <c r="BI6" t="s">
        <v>69</v>
      </c>
      <c r="BJ6" t="s">
        <v>71</v>
      </c>
      <c r="BK6" t="s">
        <v>69</v>
      </c>
      <c r="BL6">
        <v>89.093999999999994</v>
      </c>
      <c r="BM6" t="s">
        <v>69</v>
      </c>
      <c r="BN6" t="s">
        <v>69</v>
      </c>
      <c r="BO6">
        <v>245</v>
      </c>
      <c r="BP6" t="s">
        <v>69</v>
      </c>
      <c r="BQ6" t="s">
        <v>69</v>
      </c>
      <c r="BR6" t="s">
        <v>152</v>
      </c>
      <c r="BS6" t="s">
        <v>69</v>
      </c>
      <c r="BT6">
        <v>181.191</v>
      </c>
      <c r="BU6" t="s">
        <v>69</v>
      </c>
      <c r="BV6" t="s">
        <v>69</v>
      </c>
    </row>
    <row r="7" spans="1:74" x14ac:dyDescent="0.25">
      <c r="A7">
        <v>7</v>
      </c>
      <c r="B7" t="str">
        <f>HYPERLINK("http://www.ncbi.nlm.nih.gov/protein/ABZ10499.1","ABZ10499.1")</f>
        <v>ABZ10499.1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HYPERLINK("http://www.ncbi.nlm.nih.gov/protein/ABZ10499.1","inhibitor of kappa light polypeptide gene enhancer in B-cells, kinase gamma, isoform 2 (predicted)")</f>
        <v>inhibitor of kappa light polypeptide gene enhancer in B-cells, kinase gamma, isoform 2 (predicted)</v>
      </c>
      <c r="I7" t="s">
        <v>265</v>
      </c>
      <c r="J7" t="s">
        <v>69</v>
      </c>
      <c r="K7">
        <v>226</v>
      </c>
      <c r="L7" t="s">
        <v>76</v>
      </c>
      <c r="M7" t="s">
        <v>69</v>
      </c>
      <c r="N7" t="s">
        <v>75</v>
      </c>
      <c r="O7" t="s">
        <v>69</v>
      </c>
      <c r="P7">
        <v>146.18899999999999</v>
      </c>
      <c r="Q7" t="s">
        <v>69</v>
      </c>
      <c r="R7" t="s">
        <v>69</v>
      </c>
      <c r="S7">
        <v>228</v>
      </c>
      <c r="T7" t="s">
        <v>73</v>
      </c>
      <c r="U7" t="s">
        <v>69</v>
      </c>
      <c r="V7" t="s">
        <v>71</v>
      </c>
      <c r="W7" t="s">
        <v>69</v>
      </c>
      <c r="X7">
        <v>89.093999999999994</v>
      </c>
      <c r="Y7" t="s">
        <v>69</v>
      </c>
      <c r="Z7" t="s">
        <v>69</v>
      </c>
      <c r="AA7">
        <v>229</v>
      </c>
      <c r="AB7" t="s">
        <v>147</v>
      </c>
      <c r="AC7" t="s">
        <v>69</v>
      </c>
      <c r="AD7" t="s">
        <v>148</v>
      </c>
      <c r="AE7" t="s">
        <v>69</v>
      </c>
      <c r="AF7">
        <v>146.14599999999999</v>
      </c>
      <c r="AG7" t="s">
        <v>69</v>
      </c>
      <c r="AH7" t="s">
        <v>69</v>
      </c>
      <c r="AI7">
        <v>230</v>
      </c>
      <c r="AJ7" t="s">
        <v>72</v>
      </c>
      <c r="AK7" t="s">
        <v>69</v>
      </c>
      <c r="AL7" t="s">
        <v>71</v>
      </c>
      <c r="AM7" t="s">
        <v>69</v>
      </c>
      <c r="AN7">
        <v>131.17500000000001</v>
      </c>
      <c r="AO7" t="s">
        <v>69</v>
      </c>
      <c r="AP7" t="s">
        <v>69</v>
      </c>
      <c r="AQ7">
        <v>231</v>
      </c>
      <c r="AR7" t="s">
        <v>147</v>
      </c>
      <c r="AS7" t="s">
        <v>69</v>
      </c>
      <c r="AT7" t="s">
        <v>148</v>
      </c>
      <c r="AU7" t="s">
        <v>69</v>
      </c>
      <c r="AV7">
        <v>146.14599999999999</v>
      </c>
      <c r="AW7" t="s">
        <v>69</v>
      </c>
      <c r="AX7" t="s">
        <v>69</v>
      </c>
      <c r="AY7">
        <v>232</v>
      </c>
      <c r="AZ7" t="s">
        <v>115</v>
      </c>
      <c r="BA7" t="s">
        <v>69</v>
      </c>
      <c r="BB7" t="s">
        <v>71</v>
      </c>
      <c r="BC7" t="s">
        <v>69</v>
      </c>
      <c r="BD7">
        <v>117.148</v>
      </c>
      <c r="BE7" t="s">
        <v>69</v>
      </c>
      <c r="BF7" t="s">
        <v>69</v>
      </c>
      <c r="BG7">
        <v>233</v>
      </c>
      <c r="BH7" t="s">
        <v>73</v>
      </c>
      <c r="BI7" t="s">
        <v>69</v>
      </c>
      <c r="BJ7" t="s">
        <v>71</v>
      </c>
      <c r="BK7" t="s">
        <v>69</v>
      </c>
      <c r="BL7">
        <v>89.093999999999994</v>
      </c>
      <c r="BM7" t="s">
        <v>69</v>
      </c>
      <c r="BN7" t="s">
        <v>69</v>
      </c>
      <c r="BO7">
        <v>234</v>
      </c>
      <c r="BP7" t="s">
        <v>69</v>
      </c>
      <c r="BQ7" t="s">
        <v>69</v>
      </c>
      <c r="BR7" t="s">
        <v>152</v>
      </c>
      <c r="BS7" t="s">
        <v>69</v>
      </c>
      <c r="BT7">
        <v>181.191</v>
      </c>
      <c r="BU7" t="s">
        <v>69</v>
      </c>
      <c r="BV7" t="s">
        <v>69</v>
      </c>
    </row>
    <row r="8" spans="1:74" x14ac:dyDescent="0.25">
      <c r="A8">
        <v>7</v>
      </c>
      <c r="B8" t="str">
        <f>HYPERLINK("http://www.ncbi.nlm.nih.gov/protein/MBZ3875511.1","MBZ3875511.1")</f>
        <v>MBZ3875511.1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HYPERLINK("http://www.ncbi.nlm.nih.gov/protein/MBZ3875511.1","NF-kappa-B essential modulator")</f>
        <v>NF-kappa-B essential modulator</v>
      </c>
      <c r="I8" t="s">
        <v>265</v>
      </c>
      <c r="J8" t="s">
        <v>69</v>
      </c>
      <c r="K8">
        <v>254</v>
      </c>
      <c r="L8" t="s">
        <v>76</v>
      </c>
      <c r="M8" t="s">
        <v>69</v>
      </c>
      <c r="N8" t="s">
        <v>75</v>
      </c>
      <c r="O8" t="s">
        <v>69</v>
      </c>
      <c r="P8">
        <v>146.18899999999999</v>
      </c>
      <c r="Q8" t="s">
        <v>69</v>
      </c>
      <c r="R8" t="s">
        <v>69</v>
      </c>
      <c r="S8">
        <v>256</v>
      </c>
      <c r="T8" t="s">
        <v>73</v>
      </c>
      <c r="U8" t="s">
        <v>69</v>
      </c>
      <c r="V8" t="s">
        <v>71</v>
      </c>
      <c r="W8" t="s">
        <v>69</v>
      </c>
      <c r="X8">
        <v>89.093999999999994</v>
      </c>
      <c r="Y8" t="s">
        <v>69</v>
      </c>
      <c r="Z8" t="s">
        <v>69</v>
      </c>
      <c r="AA8">
        <v>257</v>
      </c>
      <c r="AB8" t="s">
        <v>147</v>
      </c>
      <c r="AC8" t="s">
        <v>69</v>
      </c>
      <c r="AD8" t="s">
        <v>148</v>
      </c>
      <c r="AE8" t="s">
        <v>69</v>
      </c>
      <c r="AF8">
        <v>146.14599999999999</v>
      </c>
      <c r="AG8" t="s">
        <v>69</v>
      </c>
      <c r="AH8" t="s">
        <v>69</v>
      </c>
      <c r="AI8">
        <v>258</v>
      </c>
      <c r="AJ8" t="s">
        <v>72</v>
      </c>
      <c r="AK8" t="s">
        <v>69</v>
      </c>
      <c r="AL8" t="s">
        <v>71</v>
      </c>
      <c r="AM8" t="s">
        <v>69</v>
      </c>
      <c r="AN8">
        <v>131.17500000000001</v>
      </c>
      <c r="AO8" t="s">
        <v>69</v>
      </c>
      <c r="AP8" t="s">
        <v>69</v>
      </c>
      <c r="AQ8">
        <v>259</v>
      </c>
      <c r="AR8" t="s">
        <v>147</v>
      </c>
      <c r="AS8" t="s">
        <v>69</v>
      </c>
      <c r="AT8" t="s">
        <v>148</v>
      </c>
      <c r="AU8" t="s">
        <v>69</v>
      </c>
      <c r="AV8">
        <v>146.14599999999999</v>
      </c>
      <c r="AW8" t="s">
        <v>69</v>
      </c>
      <c r="AX8" t="s">
        <v>69</v>
      </c>
      <c r="AY8">
        <v>260</v>
      </c>
      <c r="AZ8" t="s">
        <v>115</v>
      </c>
      <c r="BA8" t="s">
        <v>69</v>
      </c>
      <c r="BB8" t="s">
        <v>71</v>
      </c>
      <c r="BC8" t="s">
        <v>69</v>
      </c>
      <c r="BD8">
        <v>117.148</v>
      </c>
      <c r="BE8" t="s">
        <v>69</v>
      </c>
      <c r="BF8" t="s">
        <v>69</v>
      </c>
      <c r="BG8">
        <v>261</v>
      </c>
      <c r="BH8" t="s">
        <v>73</v>
      </c>
      <c r="BI8" t="s">
        <v>69</v>
      </c>
      <c r="BJ8" t="s">
        <v>71</v>
      </c>
      <c r="BK8" t="s">
        <v>69</v>
      </c>
      <c r="BL8">
        <v>89.093999999999994</v>
      </c>
      <c r="BM8" t="s">
        <v>69</v>
      </c>
      <c r="BN8" t="s">
        <v>69</v>
      </c>
      <c r="BO8">
        <v>262</v>
      </c>
      <c r="BP8" t="s">
        <v>69</v>
      </c>
      <c r="BQ8" t="s">
        <v>69</v>
      </c>
      <c r="BR8" t="s">
        <v>152</v>
      </c>
      <c r="BS8" t="s">
        <v>69</v>
      </c>
      <c r="BT8">
        <v>181.191</v>
      </c>
      <c r="BU8" t="s">
        <v>69</v>
      </c>
      <c r="BV8" t="s">
        <v>69</v>
      </c>
    </row>
    <row r="9" spans="1:74" x14ac:dyDescent="0.25">
      <c r="A9">
        <v>7</v>
      </c>
      <c r="B9" t="str">
        <f>HYPERLINK("http://www.ncbi.nlm.nih.gov/protein/XP_038307233.1","XP_038307233.1")</f>
        <v>XP_038307233.1</v>
      </c>
      <c r="C9">
        <v>136357</v>
      </c>
      <c r="D9" t="str">
        <f>HYPERLINK("http://www.ncbi.nlm.nih.gov/Taxonomy/Browser/wwwtax.cgi?mode=Info&amp;id=9615&amp;lvl=3&amp;lin=f&amp;keep=1&amp;srchmode=1&amp;unlock","9615")</f>
        <v>9615</v>
      </c>
      <c r="E9" t="s">
        <v>66</v>
      </c>
      <c r="F9" t="str">
        <f>HYPERLINK("http://www.ncbi.nlm.nih.gov/Taxonomy/Browser/wwwtax.cgi?mode=Info&amp;id=9615&amp;lvl=3&amp;lin=f&amp;keep=1&amp;srchmode=1&amp;unlock","Canis lupus familiaris")</f>
        <v>Canis lupus familiaris</v>
      </c>
      <c r="G9" t="s">
        <v>84</v>
      </c>
      <c r="H9" t="str">
        <f>HYPERLINK("http://www.ncbi.nlm.nih.gov/protein/XP_038307233.1","NF-kappa-B essential modulator isoform X7")</f>
        <v>NF-kappa-B essential modulator isoform X7</v>
      </c>
      <c r="I9" t="s">
        <v>265</v>
      </c>
      <c r="J9" t="s">
        <v>69</v>
      </c>
      <c r="K9">
        <v>226</v>
      </c>
      <c r="L9" t="s">
        <v>76</v>
      </c>
      <c r="M9" t="s">
        <v>69</v>
      </c>
      <c r="N9" t="s">
        <v>75</v>
      </c>
      <c r="O9" t="s">
        <v>69</v>
      </c>
      <c r="P9">
        <v>146.18899999999999</v>
      </c>
      <c r="Q9" t="s">
        <v>69</v>
      </c>
      <c r="R9" t="s">
        <v>69</v>
      </c>
      <c r="S9">
        <v>228</v>
      </c>
      <c r="T9" t="s">
        <v>73</v>
      </c>
      <c r="U9" t="s">
        <v>69</v>
      </c>
      <c r="V9" t="s">
        <v>71</v>
      </c>
      <c r="W9" t="s">
        <v>69</v>
      </c>
      <c r="X9">
        <v>89.093999999999994</v>
      </c>
      <c r="Y9" t="s">
        <v>69</v>
      </c>
      <c r="Z9" t="s">
        <v>69</v>
      </c>
      <c r="AA9">
        <v>229</v>
      </c>
      <c r="AB9" t="s">
        <v>147</v>
      </c>
      <c r="AC9" t="s">
        <v>69</v>
      </c>
      <c r="AD9" t="s">
        <v>148</v>
      </c>
      <c r="AE9" t="s">
        <v>69</v>
      </c>
      <c r="AF9">
        <v>146.14599999999999</v>
      </c>
      <c r="AG9" t="s">
        <v>69</v>
      </c>
      <c r="AH9" t="s">
        <v>69</v>
      </c>
      <c r="AI9">
        <v>230</v>
      </c>
      <c r="AJ9" t="s">
        <v>72</v>
      </c>
      <c r="AK9" t="s">
        <v>69</v>
      </c>
      <c r="AL9" t="s">
        <v>71</v>
      </c>
      <c r="AM9" t="s">
        <v>69</v>
      </c>
      <c r="AN9">
        <v>131.17500000000001</v>
      </c>
      <c r="AO9" t="s">
        <v>69</v>
      </c>
      <c r="AP9" t="s">
        <v>69</v>
      </c>
      <c r="AQ9">
        <v>231</v>
      </c>
      <c r="AR9" t="s">
        <v>147</v>
      </c>
      <c r="AS9" t="s">
        <v>69</v>
      </c>
      <c r="AT9" t="s">
        <v>148</v>
      </c>
      <c r="AU9" t="s">
        <v>69</v>
      </c>
      <c r="AV9">
        <v>146.14599999999999</v>
      </c>
      <c r="AW9" t="s">
        <v>69</v>
      </c>
      <c r="AX9" t="s">
        <v>69</v>
      </c>
      <c r="AY9">
        <v>232</v>
      </c>
      <c r="AZ9" t="s">
        <v>115</v>
      </c>
      <c r="BA9" t="s">
        <v>69</v>
      </c>
      <c r="BB9" t="s">
        <v>71</v>
      </c>
      <c r="BC9" t="s">
        <v>69</v>
      </c>
      <c r="BD9">
        <v>117.148</v>
      </c>
      <c r="BE9" t="s">
        <v>69</v>
      </c>
      <c r="BF9" t="s">
        <v>69</v>
      </c>
      <c r="BG9">
        <v>233</v>
      </c>
      <c r="BH9" t="s">
        <v>73</v>
      </c>
      <c r="BI9" t="s">
        <v>69</v>
      </c>
      <c r="BJ9" t="s">
        <v>71</v>
      </c>
      <c r="BK9" t="s">
        <v>69</v>
      </c>
      <c r="BL9">
        <v>89.093999999999994</v>
      </c>
      <c r="BM9" t="s">
        <v>69</v>
      </c>
      <c r="BN9" t="s">
        <v>69</v>
      </c>
      <c r="BO9">
        <v>234</v>
      </c>
      <c r="BP9" t="s">
        <v>69</v>
      </c>
      <c r="BQ9" t="s">
        <v>69</v>
      </c>
      <c r="BR9" t="s">
        <v>152</v>
      </c>
      <c r="BS9" t="s">
        <v>69</v>
      </c>
      <c r="BT9">
        <v>181.191</v>
      </c>
      <c r="BU9" t="s">
        <v>69</v>
      </c>
      <c r="BV9" t="s">
        <v>69</v>
      </c>
    </row>
    <row r="10" spans="1:74" x14ac:dyDescent="0.25">
      <c r="A10">
        <v>7</v>
      </c>
      <c r="B10" t="str">
        <f>HYPERLINK("http://www.ncbi.nlm.nih.gov/protein/XP_025843891.1","XP_025843891.1")</f>
        <v>XP_025843891.1</v>
      </c>
      <c r="C10">
        <v>38435</v>
      </c>
      <c r="D10" t="str">
        <f>HYPERLINK("http://www.ncbi.nlm.nih.gov/Taxonomy/Browser/wwwtax.cgi?mode=Info&amp;id=9627&amp;lvl=3&amp;lin=f&amp;keep=1&amp;srchmode=1&amp;unlock","9627")</f>
        <v>9627</v>
      </c>
      <c r="E10" t="s">
        <v>66</v>
      </c>
      <c r="F10" t="str">
        <f>HYPERLINK("http://www.ncbi.nlm.nih.gov/Taxonomy/Browser/wwwtax.cgi?mode=Info&amp;id=9627&amp;lvl=3&amp;lin=f&amp;keep=1&amp;srchmode=1&amp;unlock","Vulpes vulpes")</f>
        <v>Vulpes vulpes</v>
      </c>
      <c r="G10" t="s">
        <v>95</v>
      </c>
      <c r="H10" t="str">
        <f>HYPERLINK("http://www.ncbi.nlm.nih.gov/protein/XP_025843891.1","NF-kappa-B essential modulator isoform X5")</f>
        <v>NF-kappa-B essential modulator isoform X5</v>
      </c>
      <c r="I10" t="s">
        <v>265</v>
      </c>
      <c r="J10" t="s">
        <v>69</v>
      </c>
      <c r="K10">
        <v>226</v>
      </c>
      <c r="L10" t="s">
        <v>76</v>
      </c>
      <c r="M10" t="s">
        <v>69</v>
      </c>
      <c r="N10" t="s">
        <v>75</v>
      </c>
      <c r="O10" t="s">
        <v>69</v>
      </c>
      <c r="P10">
        <v>146.18899999999999</v>
      </c>
      <c r="Q10" t="s">
        <v>69</v>
      </c>
      <c r="R10" t="s">
        <v>69</v>
      </c>
      <c r="S10">
        <v>228</v>
      </c>
      <c r="T10" t="s">
        <v>73</v>
      </c>
      <c r="U10" t="s">
        <v>69</v>
      </c>
      <c r="V10" t="s">
        <v>71</v>
      </c>
      <c r="W10" t="s">
        <v>69</v>
      </c>
      <c r="X10">
        <v>89.093999999999994</v>
      </c>
      <c r="Y10" t="s">
        <v>69</v>
      </c>
      <c r="Z10" t="s">
        <v>69</v>
      </c>
      <c r="AA10">
        <v>229</v>
      </c>
      <c r="AB10" t="s">
        <v>147</v>
      </c>
      <c r="AC10" t="s">
        <v>69</v>
      </c>
      <c r="AD10" t="s">
        <v>148</v>
      </c>
      <c r="AE10" t="s">
        <v>69</v>
      </c>
      <c r="AF10">
        <v>146.14599999999999</v>
      </c>
      <c r="AG10" t="s">
        <v>69</v>
      </c>
      <c r="AH10" t="s">
        <v>69</v>
      </c>
      <c r="AI10">
        <v>230</v>
      </c>
      <c r="AJ10" t="s">
        <v>72</v>
      </c>
      <c r="AK10" t="s">
        <v>69</v>
      </c>
      <c r="AL10" t="s">
        <v>71</v>
      </c>
      <c r="AM10" t="s">
        <v>69</v>
      </c>
      <c r="AN10">
        <v>131.17500000000001</v>
      </c>
      <c r="AO10" t="s">
        <v>69</v>
      </c>
      <c r="AP10" t="s">
        <v>69</v>
      </c>
      <c r="AQ10">
        <v>231</v>
      </c>
      <c r="AR10" t="s">
        <v>147</v>
      </c>
      <c r="AS10" t="s">
        <v>69</v>
      </c>
      <c r="AT10" t="s">
        <v>148</v>
      </c>
      <c r="AU10" t="s">
        <v>69</v>
      </c>
      <c r="AV10">
        <v>146.14599999999999</v>
      </c>
      <c r="AW10" t="s">
        <v>69</v>
      </c>
      <c r="AX10" t="s">
        <v>69</v>
      </c>
      <c r="AY10">
        <v>232</v>
      </c>
      <c r="AZ10" t="s">
        <v>115</v>
      </c>
      <c r="BA10" t="s">
        <v>69</v>
      </c>
      <c r="BB10" t="s">
        <v>71</v>
      </c>
      <c r="BC10" t="s">
        <v>69</v>
      </c>
      <c r="BD10">
        <v>117.148</v>
      </c>
      <c r="BE10" t="s">
        <v>69</v>
      </c>
      <c r="BF10" t="s">
        <v>69</v>
      </c>
      <c r="BG10">
        <v>233</v>
      </c>
      <c r="BH10" t="s">
        <v>73</v>
      </c>
      <c r="BI10" t="s">
        <v>69</v>
      </c>
      <c r="BJ10" t="s">
        <v>71</v>
      </c>
      <c r="BK10" t="s">
        <v>69</v>
      </c>
      <c r="BL10">
        <v>89.093999999999994</v>
      </c>
      <c r="BM10" t="s">
        <v>69</v>
      </c>
      <c r="BN10" t="s">
        <v>69</v>
      </c>
      <c r="BO10">
        <v>234</v>
      </c>
      <c r="BP10" t="s">
        <v>69</v>
      </c>
      <c r="BQ10" t="s">
        <v>69</v>
      </c>
      <c r="BR10" t="s">
        <v>152</v>
      </c>
      <c r="BS10" t="s">
        <v>69</v>
      </c>
      <c r="BT10">
        <v>181.191</v>
      </c>
      <c r="BU10" t="s">
        <v>69</v>
      </c>
      <c r="BV10" t="s">
        <v>69</v>
      </c>
    </row>
    <row r="11" spans="1:74" x14ac:dyDescent="0.25">
      <c r="A11">
        <v>7</v>
      </c>
      <c r="B11" t="str">
        <f>HYPERLINK("http://www.ncbi.nlm.nih.gov/protein/CAD7682954.1","CAD7682954.1")</f>
        <v>CAD7682954.1</v>
      </c>
      <c r="C11">
        <v>27271</v>
      </c>
      <c r="D11" t="str">
        <f>HYPERLINK("http://www.ncbi.nlm.nih.gov/Taxonomy/Browser/wwwtax.cgi?mode=Info&amp;id=34880&amp;lvl=3&amp;lin=f&amp;keep=1&amp;srchmode=1&amp;unlock","34880")</f>
        <v>34880</v>
      </c>
      <c r="E11" t="s">
        <v>66</v>
      </c>
      <c r="F11" t="str">
        <f>HYPERLINK("http://www.ncbi.nlm.nih.gov/Taxonomy/Browser/wwwtax.cgi?mode=Info&amp;id=34880&amp;lvl=3&amp;lin=f&amp;keep=1&amp;srchmode=1&amp;unlock","Nyctereutes procyonoides")</f>
        <v>Nyctereutes procyonoides</v>
      </c>
      <c r="G11" t="s">
        <v>92</v>
      </c>
      <c r="H11" t="str">
        <f>HYPERLINK("http://www.ncbi.nlm.nih.gov/protein/CAD7682954.1","unnamed protein product")</f>
        <v>unnamed protein product</v>
      </c>
      <c r="I11" t="s">
        <v>265</v>
      </c>
      <c r="J11" t="s">
        <v>69</v>
      </c>
      <c r="K11">
        <v>264</v>
      </c>
      <c r="L11" t="s">
        <v>76</v>
      </c>
      <c r="M11" t="s">
        <v>69</v>
      </c>
      <c r="N11" t="s">
        <v>75</v>
      </c>
      <c r="O11" t="s">
        <v>69</v>
      </c>
      <c r="P11">
        <v>146.18899999999999</v>
      </c>
      <c r="Q11" t="s">
        <v>69</v>
      </c>
      <c r="R11" t="s">
        <v>69</v>
      </c>
      <c r="S11">
        <v>266</v>
      </c>
      <c r="T11" t="s">
        <v>73</v>
      </c>
      <c r="U11" t="s">
        <v>69</v>
      </c>
      <c r="V11" t="s">
        <v>71</v>
      </c>
      <c r="W11" t="s">
        <v>69</v>
      </c>
      <c r="X11">
        <v>89.093999999999994</v>
      </c>
      <c r="Y11" t="s">
        <v>69</v>
      </c>
      <c r="Z11" t="s">
        <v>69</v>
      </c>
      <c r="AA11">
        <v>267</v>
      </c>
      <c r="AB11" t="s">
        <v>147</v>
      </c>
      <c r="AC11" t="s">
        <v>69</v>
      </c>
      <c r="AD11" t="s">
        <v>148</v>
      </c>
      <c r="AE11" t="s">
        <v>69</v>
      </c>
      <c r="AF11">
        <v>146.14599999999999</v>
      </c>
      <c r="AG11" t="s">
        <v>69</v>
      </c>
      <c r="AH11" t="s">
        <v>69</v>
      </c>
      <c r="AI11">
        <v>268</v>
      </c>
      <c r="AJ11" t="s">
        <v>72</v>
      </c>
      <c r="AK11" t="s">
        <v>69</v>
      </c>
      <c r="AL11" t="s">
        <v>71</v>
      </c>
      <c r="AM11" t="s">
        <v>69</v>
      </c>
      <c r="AN11">
        <v>131.17500000000001</v>
      </c>
      <c r="AO11" t="s">
        <v>69</v>
      </c>
      <c r="AP11" t="s">
        <v>69</v>
      </c>
      <c r="AQ11">
        <v>269</v>
      </c>
      <c r="AR11" t="s">
        <v>147</v>
      </c>
      <c r="AS11" t="s">
        <v>69</v>
      </c>
      <c r="AT11" t="s">
        <v>148</v>
      </c>
      <c r="AU11" t="s">
        <v>69</v>
      </c>
      <c r="AV11">
        <v>146.14599999999999</v>
      </c>
      <c r="AW11" t="s">
        <v>69</v>
      </c>
      <c r="AX11" t="s">
        <v>69</v>
      </c>
      <c r="AY11">
        <v>270</v>
      </c>
      <c r="AZ11" t="s">
        <v>115</v>
      </c>
      <c r="BA11" t="s">
        <v>69</v>
      </c>
      <c r="BB11" t="s">
        <v>71</v>
      </c>
      <c r="BC11" t="s">
        <v>69</v>
      </c>
      <c r="BD11">
        <v>117.148</v>
      </c>
      <c r="BE11" t="s">
        <v>69</v>
      </c>
      <c r="BF11" t="s">
        <v>69</v>
      </c>
      <c r="BG11">
        <v>271</v>
      </c>
      <c r="BH11" t="s">
        <v>73</v>
      </c>
      <c r="BI11" t="s">
        <v>69</v>
      </c>
      <c r="BJ11" t="s">
        <v>71</v>
      </c>
      <c r="BK11" t="s">
        <v>69</v>
      </c>
      <c r="BL11">
        <v>89.093999999999994</v>
      </c>
      <c r="BM11" t="s">
        <v>69</v>
      </c>
      <c r="BN11" t="s">
        <v>69</v>
      </c>
      <c r="BO11">
        <v>272</v>
      </c>
      <c r="BP11" t="s">
        <v>69</v>
      </c>
      <c r="BQ11" t="s">
        <v>69</v>
      </c>
      <c r="BR11" t="s">
        <v>152</v>
      </c>
      <c r="BS11" t="s">
        <v>69</v>
      </c>
      <c r="BT11">
        <v>181.191</v>
      </c>
      <c r="BU11" t="s">
        <v>69</v>
      </c>
      <c r="BV11" t="s">
        <v>69</v>
      </c>
    </row>
    <row r="12" spans="1:74" x14ac:dyDescent="0.25">
      <c r="A12">
        <v>7</v>
      </c>
      <c r="B12" t="str">
        <f>HYPERLINK("http://www.ncbi.nlm.nih.gov/protein/XP_004001080.1","XP_004001080.1")</f>
        <v>XP_004001080.1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HYPERLINK("http://www.ncbi.nlm.nih.gov/protein/XP_004001080.1","NF-kappa-B essential modulator isoform X1")</f>
        <v>NF-kappa-B essential modulator isoform X1</v>
      </c>
      <c r="I12" t="s">
        <v>265</v>
      </c>
      <c r="J12" t="s">
        <v>69</v>
      </c>
      <c r="K12">
        <v>226</v>
      </c>
      <c r="L12" t="s">
        <v>76</v>
      </c>
      <c r="M12" t="s">
        <v>69</v>
      </c>
      <c r="N12" t="s">
        <v>75</v>
      </c>
      <c r="O12" t="s">
        <v>69</v>
      </c>
      <c r="P12">
        <v>146.18899999999999</v>
      </c>
      <c r="Q12" t="s">
        <v>69</v>
      </c>
      <c r="R12" t="s">
        <v>69</v>
      </c>
      <c r="S12">
        <v>228</v>
      </c>
      <c r="T12" t="s">
        <v>73</v>
      </c>
      <c r="U12" t="s">
        <v>69</v>
      </c>
      <c r="V12" t="s">
        <v>71</v>
      </c>
      <c r="W12" t="s">
        <v>69</v>
      </c>
      <c r="X12">
        <v>89.093999999999994</v>
      </c>
      <c r="Y12" t="s">
        <v>69</v>
      </c>
      <c r="Z12" t="s">
        <v>69</v>
      </c>
      <c r="AA12">
        <v>229</v>
      </c>
      <c r="AB12" t="s">
        <v>147</v>
      </c>
      <c r="AC12" t="s">
        <v>69</v>
      </c>
      <c r="AD12" t="s">
        <v>148</v>
      </c>
      <c r="AE12" t="s">
        <v>69</v>
      </c>
      <c r="AF12">
        <v>146.14599999999999</v>
      </c>
      <c r="AG12" t="s">
        <v>69</v>
      </c>
      <c r="AH12" t="s">
        <v>69</v>
      </c>
      <c r="AI12">
        <v>230</v>
      </c>
      <c r="AJ12" t="s">
        <v>72</v>
      </c>
      <c r="AK12" t="s">
        <v>69</v>
      </c>
      <c r="AL12" t="s">
        <v>71</v>
      </c>
      <c r="AM12" t="s">
        <v>69</v>
      </c>
      <c r="AN12">
        <v>131.17500000000001</v>
      </c>
      <c r="AO12" t="s">
        <v>69</v>
      </c>
      <c r="AP12" t="s">
        <v>69</v>
      </c>
      <c r="AQ12">
        <v>231</v>
      </c>
      <c r="AR12" t="s">
        <v>147</v>
      </c>
      <c r="AS12" t="s">
        <v>69</v>
      </c>
      <c r="AT12" t="s">
        <v>148</v>
      </c>
      <c r="AU12" t="s">
        <v>69</v>
      </c>
      <c r="AV12">
        <v>146.14599999999999</v>
      </c>
      <c r="AW12" t="s">
        <v>69</v>
      </c>
      <c r="AX12" t="s">
        <v>69</v>
      </c>
      <c r="AY12">
        <v>232</v>
      </c>
      <c r="AZ12" t="s">
        <v>115</v>
      </c>
      <c r="BA12" t="s">
        <v>69</v>
      </c>
      <c r="BB12" t="s">
        <v>71</v>
      </c>
      <c r="BC12" t="s">
        <v>69</v>
      </c>
      <c r="BD12">
        <v>117.148</v>
      </c>
      <c r="BE12" t="s">
        <v>69</v>
      </c>
      <c r="BF12" t="s">
        <v>69</v>
      </c>
      <c r="BG12">
        <v>233</v>
      </c>
      <c r="BH12" t="s">
        <v>73</v>
      </c>
      <c r="BI12" t="s">
        <v>69</v>
      </c>
      <c r="BJ12" t="s">
        <v>71</v>
      </c>
      <c r="BK12" t="s">
        <v>69</v>
      </c>
      <c r="BL12">
        <v>89.093999999999994</v>
      </c>
      <c r="BM12" t="s">
        <v>69</v>
      </c>
      <c r="BN12" t="s">
        <v>69</v>
      </c>
      <c r="BO12">
        <v>234</v>
      </c>
      <c r="BP12" t="s">
        <v>69</v>
      </c>
      <c r="BQ12" t="s">
        <v>69</v>
      </c>
      <c r="BR12" t="s">
        <v>152</v>
      </c>
      <c r="BS12" t="s">
        <v>69</v>
      </c>
      <c r="BT12">
        <v>181.191</v>
      </c>
      <c r="BU12" t="s">
        <v>69</v>
      </c>
      <c r="BV12" t="s">
        <v>69</v>
      </c>
    </row>
    <row r="13" spans="1:74" x14ac:dyDescent="0.25">
      <c r="A13">
        <v>7</v>
      </c>
      <c r="B13" t="str">
        <f>HYPERLINK("http://www.ncbi.nlm.nih.gov/protein/XP_047703405.1","XP_047703405.1")</f>
        <v>XP_047703405.1</v>
      </c>
      <c r="C13">
        <v>56399</v>
      </c>
      <c r="D13" t="str">
        <f>HYPERLINK("http://www.ncbi.nlm.nih.gov/Taxonomy/Browser/wwwtax.cgi?mode=Info&amp;id=61388&amp;lvl=3&amp;lin=f&amp;keep=1&amp;srchmode=1&amp;unlock","61388")</f>
        <v>61388</v>
      </c>
      <c r="E13" t="s">
        <v>66</v>
      </c>
      <c r="F13" t="str">
        <f>HYPERLINK("http://www.ncbi.nlm.nih.gov/Taxonomy/Browser/wwwtax.cgi?mode=Info&amp;id=61388&amp;lvl=3&amp;lin=f&amp;keep=1&amp;srchmode=1&amp;unlock","Prionailurus viverrinus")</f>
        <v>Prionailurus viverrinus</v>
      </c>
      <c r="G13" t="s">
        <v>94</v>
      </c>
      <c r="H13" t="str">
        <f>HYPERLINK("http://www.ncbi.nlm.nih.gov/protein/XP_047703405.1","NF-kappa-B essential modulator isoform X1")</f>
        <v>NF-kappa-B essential modulator isoform X1</v>
      </c>
      <c r="I13" t="s">
        <v>265</v>
      </c>
      <c r="J13" t="s">
        <v>69</v>
      </c>
      <c r="K13">
        <v>226</v>
      </c>
      <c r="L13" t="s">
        <v>76</v>
      </c>
      <c r="M13" t="s">
        <v>69</v>
      </c>
      <c r="N13" t="s">
        <v>75</v>
      </c>
      <c r="O13" t="s">
        <v>69</v>
      </c>
      <c r="P13">
        <v>146.18899999999999</v>
      </c>
      <c r="Q13" t="s">
        <v>69</v>
      </c>
      <c r="R13" t="s">
        <v>69</v>
      </c>
      <c r="S13">
        <v>228</v>
      </c>
      <c r="T13" t="s">
        <v>73</v>
      </c>
      <c r="U13" t="s">
        <v>69</v>
      </c>
      <c r="V13" t="s">
        <v>71</v>
      </c>
      <c r="W13" t="s">
        <v>69</v>
      </c>
      <c r="X13">
        <v>89.093999999999994</v>
      </c>
      <c r="Y13" t="s">
        <v>69</v>
      </c>
      <c r="Z13" t="s">
        <v>69</v>
      </c>
      <c r="AA13">
        <v>229</v>
      </c>
      <c r="AB13" t="s">
        <v>147</v>
      </c>
      <c r="AC13" t="s">
        <v>69</v>
      </c>
      <c r="AD13" t="s">
        <v>148</v>
      </c>
      <c r="AE13" t="s">
        <v>69</v>
      </c>
      <c r="AF13">
        <v>146.14599999999999</v>
      </c>
      <c r="AG13" t="s">
        <v>69</v>
      </c>
      <c r="AH13" t="s">
        <v>69</v>
      </c>
      <c r="AI13">
        <v>230</v>
      </c>
      <c r="AJ13" t="s">
        <v>72</v>
      </c>
      <c r="AK13" t="s">
        <v>69</v>
      </c>
      <c r="AL13" t="s">
        <v>71</v>
      </c>
      <c r="AM13" t="s">
        <v>69</v>
      </c>
      <c r="AN13">
        <v>131.17500000000001</v>
      </c>
      <c r="AO13" t="s">
        <v>69</v>
      </c>
      <c r="AP13" t="s">
        <v>69</v>
      </c>
      <c r="AQ13">
        <v>231</v>
      </c>
      <c r="AR13" t="s">
        <v>147</v>
      </c>
      <c r="AS13" t="s">
        <v>69</v>
      </c>
      <c r="AT13" t="s">
        <v>148</v>
      </c>
      <c r="AU13" t="s">
        <v>69</v>
      </c>
      <c r="AV13">
        <v>146.14599999999999</v>
      </c>
      <c r="AW13" t="s">
        <v>69</v>
      </c>
      <c r="AX13" t="s">
        <v>69</v>
      </c>
      <c r="AY13">
        <v>232</v>
      </c>
      <c r="AZ13" t="s">
        <v>115</v>
      </c>
      <c r="BA13" t="s">
        <v>69</v>
      </c>
      <c r="BB13" t="s">
        <v>71</v>
      </c>
      <c r="BC13" t="s">
        <v>69</v>
      </c>
      <c r="BD13">
        <v>117.148</v>
      </c>
      <c r="BE13" t="s">
        <v>69</v>
      </c>
      <c r="BF13" t="s">
        <v>69</v>
      </c>
      <c r="BG13">
        <v>233</v>
      </c>
      <c r="BH13" t="s">
        <v>73</v>
      </c>
      <c r="BI13" t="s">
        <v>69</v>
      </c>
      <c r="BJ13" t="s">
        <v>71</v>
      </c>
      <c r="BK13" t="s">
        <v>69</v>
      </c>
      <c r="BL13">
        <v>89.093999999999994</v>
      </c>
      <c r="BM13" t="s">
        <v>69</v>
      </c>
      <c r="BN13" t="s">
        <v>69</v>
      </c>
      <c r="BO13">
        <v>234</v>
      </c>
      <c r="BP13" t="s">
        <v>69</v>
      </c>
      <c r="BQ13" t="s">
        <v>69</v>
      </c>
      <c r="BR13" t="s">
        <v>152</v>
      </c>
      <c r="BS13" t="s">
        <v>69</v>
      </c>
      <c r="BT13">
        <v>181.191</v>
      </c>
      <c r="BU13" t="s">
        <v>69</v>
      </c>
      <c r="BV13" t="s">
        <v>69</v>
      </c>
    </row>
    <row r="14" spans="1:74" x14ac:dyDescent="0.25">
      <c r="A14">
        <v>7</v>
      </c>
      <c r="B14" t="str">
        <f>HYPERLINK("http://www.ncbi.nlm.nih.gov/protein/XP_030162147.1","XP_030162147.1")</f>
        <v>XP_030162147.1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HYPERLINK("http://www.ncbi.nlm.nih.gov/protein/XP_030162147.1","NF-kappa-B essential modulator isoform X1")</f>
        <v>NF-kappa-B essential modulator isoform X1</v>
      </c>
      <c r="I14" t="s">
        <v>265</v>
      </c>
      <c r="J14" t="s">
        <v>69</v>
      </c>
      <c r="K14">
        <v>226</v>
      </c>
      <c r="L14" t="s">
        <v>76</v>
      </c>
      <c r="M14" t="s">
        <v>69</v>
      </c>
      <c r="N14" t="s">
        <v>75</v>
      </c>
      <c r="O14" t="s">
        <v>69</v>
      </c>
      <c r="P14">
        <v>146.18899999999999</v>
      </c>
      <c r="Q14" t="s">
        <v>69</v>
      </c>
      <c r="R14" t="s">
        <v>69</v>
      </c>
      <c r="S14">
        <v>228</v>
      </c>
      <c r="T14" t="s">
        <v>73</v>
      </c>
      <c r="U14" t="s">
        <v>69</v>
      </c>
      <c r="V14" t="s">
        <v>71</v>
      </c>
      <c r="W14" t="s">
        <v>69</v>
      </c>
      <c r="X14">
        <v>89.093999999999994</v>
      </c>
      <c r="Y14" t="s">
        <v>69</v>
      </c>
      <c r="Z14" t="s">
        <v>69</v>
      </c>
      <c r="AA14">
        <v>229</v>
      </c>
      <c r="AB14" t="s">
        <v>147</v>
      </c>
      <c r="AC14" t="s">
        <v>69</v>
      </c>
      <c r="AD14" t="s">
        <v>148</v>
      </c>
      <c r="AE14" t="s">
        <v>69</v>
      </c>
      <c r="AF14">
        <v>146.14599999999999</v>
      </c>
      <c r="AG14" t="s">
        <v>69</v>
      </c>
      <c r="AH14" t="s">
        <v>69</v>
      </c>
      <c r="AI14">
        <v>230</v>
      </c>
      <c r="AJ14" t="s">
        <v>72</v>
      </c>
      <c r="AK14" t="s">
        <v>69</v>
      </c>
      <c r="AL14" t="s">
        <v>71</v>
      </c>
      <c r="AM14" t="s">
        <v>69</v>
      </c>
      <c r="AN14">
        <v>131.17500000000001</v>
      </c>
      <c r="AO14" t="s">
        <v>69</v>
      </c>
      <c r="AP14" t="s">
        <v>69</v>
      </c>
      <c r="AQ14">
        <v>231</v>
      </c>
      <c r="AR14" t="s">
        <v>147</v>
      </c>
      <c r="AS14" t="s">
        <v>69</v>
      </c>
      <c r="AT14" t="s">
        <v>148</v>
      </c>
      <c r="AU14" t="s">
        <v>69</v>
      </c>
      <c r="AV14">
        <v>146.14599999999999</v>
      </c>
      <c r="AW14" t="s">
        <v>69</v>
      </c>
      <c r="AX14" t="s">
        <v>69</v>
      </c>
      <c r="AY14">
        <v>232</v>
      </c>
      <c r="AZ14" t="s">
        <v>115</v>
      </c>
      <c r="BA14" t="s">
        <v>69</v>
      </c>
      <c r="BB14" t="s">
        <v>71</v>
      </c>
      <c r="BC14" t="s">
        <v>69</v>
      </c>
      <c r="BD14">
        <v>117.148</v>
      </c>
      <c r="BE14" t="s">
        <v>69</v>
      </c>
      <c r="BF14" t="s">
        <v>69</v>
      </c>
      <c r="BG14">
        <v>233</v>
      </c>
      <c r="BH14" t="s">
        <v>73</v>
      </c>
      <c r="BI14" t="s">
        <v>69</v>
      </c>
      <c r="BJ14" t="s">
        <v>71</v>
      </c>
      <c r="BK14" t="s">
        <v>69</v>
      </c>
      <c r="BL14">
        <v>89.093999999999994</v>
      </c>
      <c r="BM14" t="s">
        <v>69</v>
      </c>
      <c r="BN14" t="s">
        <v>69</v>
      </c>
      <c r="BO14">
        <v>234</v>
      </c>
      <c r="BP14" t="s">
        <v>69</v>
      </c>
      <c r="BQ14" t="s">
        <v>69</v>
      </c>
      <c r="BR14" t="s">
        <v>152</v>
      </c>
      <c r="BS14" t="s">
        <v>69</v>
      </c>
      <c r="BT14">
        <v>181.191</v>
      </c>
      <c r="BU14" t="s">
        <v>69</v>
      </c>
      <c r="BV14" t="s">
        <v>69</v>
      </c>
    </row>
    <row r="15" spans="1:74" x14ac:dyDescent="0.25">
      <c r="A15">
        <v>7</v>
      </c>
      <c r="B15" t="str">
        <f>HYPERLINK("http://www.ncbi.nlm.nih.gov/protein/XP_046954391.1","XP_046954391.1")</f>
        <v>XP_046954391.1</v>
      </c>
      <c r="C15">
        <v>38764</v>
      </c>
      <c r="D15" t="str">
        <f>HYPERLINK("http://www.ncbi.nlm.nih.gov/Taxonomy/Browser/wwwtax.cgi?mode=Info&amp;id=61384&amp;lvl=3&amp;lin=f&amp;keep=1&amp;srchmode=1&amp;unlock","61384")</f>
        <v>61384</v>
      </c>
      <c r="E15" t="s">
        <v>66</v>
      </c>
      <c r="F15" t="str">
        <f>HYPERLINK("http://www.ncbi.nlm.nih.gov/Taxonomy/Browser/wwwtax.cgi?mode=Info&amp;id=61384&amp;lvl=3&amp;lin=f&amp;keep=1&amp;srchmode=1&amp;unlock","Lynx rufus")</f>
        <v>Lynx rufus</v>
      </c>
      <c r="G15" t="s">
        <v>93</v>
      </c>
      <c r="H15" t="str">
        <f>HYPERLINK("http://www.ncbi.nlm.nih.gov/protein/XP_046954391.1","NF-kappa-B essential modulator isoform X1")</f>
        <v>NF-kappa-B essential modulator isoform X1</v>
      </c>
      <c r="I15" t="s">
        <v>265</v>
      </c>
      <c r="J15" t="s">
        <v>69</v>
      </c>
      <c r="K15">
        <v>226</v>
      </c>
      <c r="L15" t="s">
        <v>76</v>
      </c>
      <c r="M15" t="s">
        <v>69</v>
      </c>
      <c r="N15" t="s">
        <v>75</v>
      </c>
      <c r="O15" t="s">
        <v>69</v>
      </c>
      <c r="P15">
        <v>146.18899999999999</v>
      </c>
      <c r="Q15" t="s">
        <v>69</v>
      </c>
      <c r="R15" t="s">
        <v>69</v>
      </c>
      <c r="S15">
        <v>228</v>
      </c>
      <c r="T15" t="s">
        <v>73</v>
      </c>
      <c r="U15" t="s">
        <v>69</v>
      </c>
      <c r="V15" t="s">
        <v>71</v>
      </c>
      <c r="W15" t="s">
        <v>69</v>
      </c>
      <c r="X15">
        <v>89.093999999999994</v>
      </c>
      <c r="Y15" t="s">
        <v>69</v>
      </c>
      <c r="Z15" t="s">
        <v>69</v>
      </c>
      <c r="AA15">
        <v>229</v>
      </c>
      <c r="AB15" t="s">
        <v>147</v>
      </c>
      <c r="AC15" t="s">
        <v>69</v>
      </c>
      <c r="AD15" t="s">
        <v>148</v>
      </c>
      <c r="AE15" t="s">
        <v>69</v>
      </c>
      <c r="AF15">
        <v>146.14599999999999</v>
      </c>
      <c r="AG15" t="s">
        <v>69</v>
      </c>
      <c r="AH15" t="s">
        <v>69</v>
      </c>
      <c r="AI15">
        <v>230</v>
      </c>
      <c r="AJ15" t="s">
        <v>72</v>
      </c>
      <c r="AK15" t="s">
        <v>69</v>
      </c>
      <c r="AL15" t="s">
        <v>71</v>
      </c>
      <c r="AM15" t="s">
        <v>69</v>
      </c>
      <c r="AN15">
        <v>131.17500000000001</v>
      </c>
      <c r="AO15" t="s">
        <v>69</v>
      </c>
      <c r="AP15" t="s">
        <v>69</v>
      </c>
      <c r="AQ15">
        <v>231</v>
      </c>
      <c r="AR15" t="s">
        <v>147</v>
      </c>
      <c r="AS15" t="s">
        <v>69</v>
      </c>
      <c r="AT15" t="s">
        <v>148</v>
      </c>
      <c r="AU15" t="s">
        <v>69</v>
      </c>
      <c r="AV15">
        <v>146.14599999999999</v>
      </c>
      <c r="AW15" t="s">
        <v>69</v>
      </c>
      <c r="AX15" t="s">
        <v>69</v>
      </c>
      <c r="AY15">
        <v>232</v>
      </c>
      <c r="AZ15" t="s">
        <v>115</v>
      </c>
      <c r="BA15" t="s">
        <v>69</v>
      </c>
      <c r="BB15" t="s">
        <v>71</v>
      </c>
      <c r="BC15" t="s">
        <v>69</v>
      </c>
      <c r="BD15">
        <v>117.148</v>
      </c>
      <c r="BE15" t="s">
        <v>69</v>
      </c>
      <c r="BF15" t="s">
        <v>69</v>
      </c>
      <c r="BG15">
        <v>233</v>
      </c>
      <c r="BH15" t="s">
        <v>73</v>
      </c>
      <c r="BI15" t="s">
        <v>69</v>
      </c>
      <c r="BJ15" t="s">
        <v>71</v>
      </c>
      <c r="BK15" t="s">
        <v>69</v>
      </c>
      <c r="BL15">
        <v>89.093999999999994</v>
      </c>
      <c r="BM15" t="s">
        <v>69</v>
      </c>
      <c r="BN15" t="s">
        <v>69</v>
      </c>
      <c r="BO15">
        <v>234</v>
      </c>
      <c r="BP15" t="s">
        <v>69</v>
      </c>
      <c r="BQ15" t="s">
        <v>69</v>
      </c>
      <c r="BR15" t="s">
        <v>152</v>
      </c>
      <c r="BS15" t="s">
        <v>69</v>
      </c>
      <c r="BT15">
        <v>181.191</v>
      </c>
      <c r="BU15" t="s">
        <v>69</v>
      </c>
      <c r="BV15" t="s">
        <v>69</v>
      </c>
    </row>
    <row r="16" spans="1:74" x14ac:dyDescent="0.25">
      <c r="A16">
        <v>7</v>
      </c>
      <c r="B16" t="str">
        <f>HYPERLINK("http://www.ncbi.nlm.nih.gov/protein/XP_020749461.1","XP_020749461.1")</f>
        <v>XP_020749461.1</v>
      </c>
      <c r="C16">
        <v>48218</v>
      </c>
      <c r="D16" t="str">
        <f>HYPERLINK("http://www.ncbi.nlm.nih.gov/Taxonomy/Browser/wwwtax.cgi?mode=Info&amp;id=9880&amp;lvl=3&amp;lin=f&amp;keep=1&amp;srchmode=1&amp;unlock","9880")</f>
        <v>9880</v>
      </c>
      <c r="E16" t="s">
        <v>66</v>
      </c>
      <c r="F16" t="str">
        <f>HYPERLINK("http://www.ncbi.nlm.nih.gov/Taxonomy/Browser/wwwtax.cgi?mode=Info&amp;id=9880&amp;lvl=3&amp;lin=f&amp;keep=1&amp;srchmode=1&amp;unlock","Odocoileus virginianus texanus")</f>
        <v>Odocoileus virginianus texanus</v>
      </c>
      <c r="G16" t="s">
        <v>81</v>
      </c>
      <c r="H16" t="str">
        <f>HYPERLINK("http://www.ncbi.nlm.nih.gov/protein/XP_020749461.1","NF-kappa-B essential modulator isoform X6")</f>
        <v>NF-kappa-B essential modulator isoform X6</v>
      </c>
      <c r="I16" t="s">
        <v>265</v>
      </c>
      <c r="J16" t="s">
        <v>69</v>
      </c>
      <c r="K16">
        <v>226</v>
      </c>
      <c r="L16" t="s">
        <v>76</v>
      </c>
      <c r="M16" t="s">
        <v>69</v>
      </c>
      <c r="N16" t="s">
        <v>75</v>
      </c>
      <c r="O16" t="s">
        <v>69</v>
      </c>
      <c r="P16">
        <v>146.18899999999999</v>
      </c>
      <c r="Q16" t="s">
        <v>69</v>
      </c>
      <c r="R16" t="s">
        <v>69</v>
      </c>
      <c r="S16">
        <v>228</v>
      </c>
      <c r="T16" t="s">
        <v>73</v>
      </c>
      <c r="U16" t="s">
        <v>69</v>
      </c>
      <c r="V16" t="s">
        <v>71</v>
      </c>
      <c r="W16" t="s">
        <v>69</v>
      </c>
      <c r="X16">
        <v>89.093999999999994</v>
      </c>
      <c r="Y16" t="s">
        <v>69</v>
      </c>
      <c r="Z16" t="s">
        <v>69</v>
      </c>
      <c r="AA16">
        <v>229</v>
      </c>
      <c r="AB16" t="s">
        <v>147</v>
      </c>
      <c r="AC16" t="s">
        <v>69</v>
      </c>
      <c r="AD16" t="s">
        <v>148</v>
      </c>
      <c r="AE16" t="s">
        <v>69</v>
      </c>
      <c r="AF16">
        <v>146.14599999999999</v>
      </c>
      <c r="AG16" t="s">
        <v>69</v>
      </c>
      <c r="AH16" t="s">
        <v>69</v>
      </c>
      <c r="AI16">
        <v>230</v>
      </c>
      <c r="AJ16" t="s">
        <v>72</v>
      </c>
      <c r="AK16" t="s">
        <v>69</v>
      </c>
      <c r="AL16" t="s">
        <v>71</v>
      </c>
      <c r="AM16" t="s">
        <v>69</v>
      </c>
      <c r="AN16">
        <v>131.17500000000001</v>
      </c>
      <c r="AO16" t="s">
        <v>69</v>
      </c>
      <c r="AP16" t="s">
        <v>69</v>
      </c>
      <c r="AQ16">
        <v>231</v>
      </c>
      <c r="AR16" t="s">
        <v>147</v>
      </c>
      <c r="AS16" t="s">
        <v>69</v>
      </c>
      <c r="AT16" t="s">
        <v>148</v>
      </c>
      <c r="AU16" t="s">
        <v>69</v>
      </c>
      <c r="AV16">
        <v>146.14599999999999</v>
      </c>
      <c r="AW16" t="s">
        <v>69</v>
      </c>
      <c r="AX16" t="s">
        <v>69</v>
      </c>
      <c r="AY16">
        <v>232</v>
      </c>
      <c r="AZ16" t="s">
        <v>115</v>
      </c>
      <c r="BA16" t="s">
        <v>69</v>
      </c>
      <c r="BB16" t="s">
        <v>71</v>
      </c>
      <c r="BC16" t="s">
        <v>69</v>
      </c>
      <c r="BD16">
        <v>117.148</v>
      </c>
      <c r="BE16" t="s">
        <v>69</v>
      </c>
      <c r="BF16" t="s">
        <v>69</v>
      </c>
      <c r="BG16">
        <v>233</v>
      </c>
      <c r="BH16" t="s">
        <v>73</v>
      </c>
      <c r="BI16" t="s">
        <v>69</v>
      </c>
      <c r="BJ16" t="s">
        <v>71</v>
      </c>
      <c r="BK16" t="s">
        <v>69</v>
      </c>
      <c r="BL16">
        <v>89.093999999999994</v>
      </c>
      <c r="BM16" t="s">
        <v>69</v>
      </c>
      <c r="BN16" t="s">
        <v>69</v>
      </c>
      <c r="BO16">
        <v>234</v>
      </c>
      <c r="BP16" t="s">
        <v>69</v>
      </c>
      <c r="BQ16" t="s">
        <v>69</v>
      </c>
      <c r="BR16" t="s">
        <v>152</v>
      </c>
      <c r="BS16" t="s">
        <v>69</v>
      </c>
      <c r="BT16">
        <v>181.191</v>
      </c>
      <c r="BU16" t="s">
        <v>69</v>
      </c>
      <c r="BV16" t="s">
        <v>69</v>
      </c>
    </row>
    <row r="17" spans="1:74" x14ac:dyDescent="0.25">
      <c r="A17">
        <v>7</v>
      </c>
      <c r="B17" t="str">
        <f>HYPERLINK("http://www.ncbi.nlm.nih.gov/protein/XP_025790087.1","XP_025790087.1")</f>
        <v>XP_025790087.1</v>
      </c>
      <c r="C17">
        <v>23623</v>
      </c>
      <c r="D17" t="str">
        <f>HYPERLINK("http://www.ncbi.nlm.nih.gov/Taxonomy/Browser/wwwtax.cgi?mode=Info&amp;id=9696&amp;lvl=3&amp;lin=f&amp;keep=1&amp;srchmode=1&amp;unlock","9696")</f>
        <v>9696</v>
      </c>
      <c r="E17" t="s">
        <v>66</v>
      </c>
      <c r="F17" t="str">
        <f>HYPERLINK("http://www.ncbi.nlm.nih.gov/Taxonomy/Browser/wwwtax.cgi?mode=Info&amp;id=9696&amp;lvl=3&amp;lin=f&amp;keep=1&amp;srchmode=1&amp;unlock","Puma concolor")</f>
        <v>Puma concolor</v>
      </c>
      <c r="G17" t="s">
        <v>91</v>
      </c>
      <c r="H17" t="str">
        <f>HYPERLINK("http://www.ncbi.nlm.nih.gov/protein/XP_025790087.1","NF-kappa-B essential modulator isoform X1")</f>
        <v>NF-kappa-B essential modulator isoform X1</v>
      </c>
      <c r="I17" t="s">
        <v>265</v>
      </c>
      <c r="J17" t="s">
        <v>69</v>
      </c>
      <c r="K17">
        <v>225</v>
      </c>
      <c r="L17" t="s">
        <v>76</v>
      </c>
      <c r="M17" t="s">
        <v>69</v>
      </c>
      <c r="N17" t="s">
        <v>75</v>
      </c>
      <c r="O17" t="s">
        <v>69</v>
      </c>
      <c r="P17">
        <v>146.18899999999999</v>
      </c>
      <c r="Q17" t="s">
        <v>69</v>
      </c>
      <c r="R17" t="s">
        <v>69</v>
      </c>
      <c r="S17">
        <v>227</v>
      </c>
      <c r="T17" t="s">
        <v>73</v>
      </c>
      <c r="U17" t="s">
        <v>69</v>
      </c>
      <c r="V17" t="s">
        <v>71</v>
      </c>
      <c r="W17" t="s">
        <v>69</v>
      </c>
      <c r="X17">
        <v>89.093999999999994</v>
      </c>
      <c r="Y17" t="s">
        <v>69</v>
      </c>
      <c r="Z17" t="s">
        <v>69</v>
      </c>
      <c r="AA17">
        <v>228</v>
      </c>
      <c r="AB17" t="s">
        <v>147</v>
      </c>
      <c r="AC17" t="s">
        <v>69</v>
      </c>
      <c r="AD17" t="s">
        <v>148</v>
      </c>
      <c r="AE17" t="s">
        <v>69</v>
      </c>
      <c r="AF17">
        <v>146.14599999999999</v>
      </c>
      <c r="AG17" t="s">
        <v>69</v>
      </c>
      <c r="AH17" t="s">
        <v>69</v>
      </c>
      <c r="AI17">
        <v>229</v>
      </c>
      <c r="AJ17" t="s">
        <v>72</v>
      </c>
      <c r="AK17" t="s">
        <v>69</v>
      </c>
      <c r="AL17" t="s">
        <v>71</v>
      </c>
      <c r="AM17" t="s">
        <v>69</v>
      </c>
      <c r="AN17">
        <v>131.17500000000001</v>
      </c>
      <c r="AO17" t="s">
        <v>69</v>
      </c>
      <c r="AP17" t="s">
        <v>69</v>
      </c>
      <c r="AQ17">
        <v>230</v>
      </c>
      <c r="AR17" t="s">
        <v>147</v>
      </c>
      <c r="AS17" t="s">
        <v>69</v>
      </c>
      <c r="AT17" t="s">
        <v>148</v>
      </c>
      <c r="AU17" t="s">
        <v>69</v>
      </c>
      <c r="AV17">
        <v>146.14599999999999</v>
      </c>
      <c r="AW17" t="s">
        <v>69</v>
      </c>
      <c r="AX17" t="s">
        <v>69</v>
      </c>
      <c r="AY17">
        <v>231</v>
      </c>
      <c r="AZ17" t="s">
        <v>115</v>
      </c>
      <c r="BA17" t="s">
        <v>69</v>
      </c>
      <c r="BB17" t="s">
        <v>71</v>
      </c>
      <c r="BC17" t="s">
        <v>69</v>
      </c>
      <c r="BD17">
        <v>117.148</v>
      </c>
      <c r="BE17" t="s">
        <v>69</v>
      </c>
      <c r="BF17" t="s">
        <v>69</v>
      </c>
      <c r="BG17">
        <v>232</v>
      </c>
      <c r="BH17" t="s">
        <v>73</v>
      </c>
      <c r="BI17" t="s">
        <v>69</v>
      </c>
      <c r="BJ17" t="s">
        <v>71</v>
      </c>
      <c r="BK17" t="s">
        <v>69</v>
      </c>
      <c r="BL17">
        <v>89.093999999999994</v>
      </c>
      <c r="BM17" t="s">
        <v>69</v>
      </c>
      <c r="BN17" t="s">
        <v>69</v>
      </c>
      <c r="BO17">
        <v>233</v>
      </c>
      <c r="BP17" t="s">
        <v>69</v>
      </c>
      <c r="BQ17" t="s">
        <v>69</v>
      </c>
      <c r="BR17" t="s">
        <v>152</v>
      </c>
      <c r="BS17" t="s">
        <v>69</v>
      </c>
      <c r="BT17">
        <v>181.191</v>
      </c>
      <c r="BU17" t="s">
        <v>69</v>
      </c>
      <c r="BV17" t="s">
        <v>69</v>
      </c>
    </row>
    <row r="18" spans="1:74" x14ac:dyDescent="0.25">
      <c r="A18">
        <v>7</v>
      </c>
      <c r="B18" t="str">
        <f>HYPERLINK("http://www.ncbi.nlm.nih.gov/protein/XP_017521897.1","XP_017521897.1")</f>
        <v>XP_017521897.1</v>
      </c>
      <c r="C18">
        <v>56064</v>
      </c>
      <c r="D18" t="str">
        <f>HYPERLINK("http://www.ncbi.nlm.nih.gov/Taxonomy/Browser/wwwtax.cgi?mode=Info&amp;id=9974&amp;lvl=3&amp;lin=f&amp;keep=1&amp;srchmode=1&amp;unlock","9974")</f>
        <v>9974</v>
      </c>
      <c r="E18" t="s">
        <v>66</v>
      </c>
      <c r="F18" t="str">
        <f>HYPERLINK("http://www.ncbi.nlm.nih.gov/Taxonomy/Browser/wwwtax.cgi?mode=Info&amp;id=9974&amp;lvl=3&amp;lin=f&amp;keep=1&amp;srchmode=1&amp;unlock","Manis javanica")</f>
        <v>Manis javanica</v>
      </c>
      <c r="G18" t="s">
        <v>100</v>
      </c>
      <c r="H18" t="str">
        <f>HYPERLINK("http://www.ncbi.nlm.nih.gov/protein/XP_017521897.1","NF-kappa-B essential modulator isoform X1")</f>
        <v>NF-kappa-B essential modulator isoform X1</v>
      </c>
      <c r="I18" t="s">
        <v>265</v>
      </c>
      <c r="J18" t="s">
        <v>69</v>
      </c>
      <c r="K18">
        <v>226</v>
      </c>
      <c r="L18" t="s">
        <v>76</v>
      </c>
      <c r="M18" t="s">
        <v>69</v>
      </c>
      <c r="N18" t="s">
        <v>75</v>
      </c>
      <c r="O18" t="s">
        <v>69</v>
      </c>
      <c r="P18">
        <v>146.18899999999999</v>
      </c>
      <c r="Q18" t="s">
        <v>69</v>
      </c>
      <c r="R18" t="s">
        <v>69</v>
      </c>
      <c r="S18">
        <v>228</v>
      </c>
      <c r="T18" t="s">
        <v>73</v>
      </c>
      <c r="U18" t="s">
        <v>69</v>
      </c>
      <c r="V18" t="s">
        <v>71</v>
      </c>
      <c r="W18" t="s">
        <v>69</v>
      </c>
      <c r="X18">
        <v>89.093999999999994</v>
      </c>
      <c r="Y18" t="s">
        <v>69</v>
      </c>
      <c r="Z18" t="s">
        <v>69</v>
      </c>
      <c r="AA18">
        <v>229</v>
      </c>
      <c r="AB18" t="s">
        <v>147</v>
      </c>
      <c r="AC18" t="s">
        <v>69</v>
      </c>
      <c r="AD18" t="s">
        <v>148</v>
      </c>
      <c r="AE18" t="s">
        <v>69</v>
      </c>
      <c r="AF18">
        <v>146.14599999999999</v>
      </c>
      <c r="AG18" t="s">
        <v>69</v>
      </c>
      <c r="AH18" t="s">
        <v>69</v>
      </c>
      <c r="AI18">
        <v>230</v>
      </c>
      <c r="AJ18" t="s">
        <v>72</v>
      </c>
      <c r="AK18" t="s">
        <v>69</v>
      </c>
      <c r="AL18" t="s">
        <v>71</v>
      </c>
      <c r="AM18" t="s">
        <v>69</v>
      </c>
      <c r="AN18">
        <v>131.17500000000001</v>
      </c>
      <c r="AO18" t="s">
        <v>69</v>
      </c>
      <c r="AP18" t="s">
        <v>69</v>
      </c>
      <c r="AQ18">
        <v>231</v>
      </c>
      <c r="AR18" t="s">
        <v>147</v>
      </c>
      <c r="AS18" t="s">
        <v>69</v>
      </c>
      <c r="AT18" t="s">
        <v>148</v>
      </c>
      <c r="AU18" t="s">
        <v>69</v>
      </c>
      <c r="AV18">
        <v>146.14599999999999</v>
      </c>
      <c r="AW18" t="s">
        <v>69</v>
      </c>
      <c r="AX18" t="s">
        <v>69</v>
      </c>
      <c r="AY18">
        <v>232</v>
      </c>
      <c r="AZ18" t="s">
        <v>115</v>
      </c>
      <c r="BA18" t="s">
        <v>69</v>
      </c>
      <c r="BB18" t="s">
        <v>71</v>
      </c>
      <c r="BC18" t="s">
        <v>69</v>
      </c>
      <c r="BD18">
        <v>117.148</v>
      </c>
      <c r="BE18" t="s">
        <v>69</v>
      </c>
      <c r="BF18" t="s">
        <v>69</v>
      </c>
      <c r="BG18">
        <v>233</v>
      </c>
      <c r="BH18" t="s">
        <v>73</v>
      </c>
      <c r="BI18" t="s">
        <v>69</v>
      </c>
      <c r="BJ18" t="s">
        <v>71</v>
      </c>
      <c r="BK18" t="s">
        <v>69</v>
      </c>
      <c r="BL18">
        <v>89.093999999999994</v>
      </c>
      <c r="BM18" t="s">
        <v>69</v>
      </c>
      <c r="BN18" t="s">
        <v>69</v>
      </c>
      <c r="BO18">
        <v>234</v>
      </c>
      <c r="BP18" t="s">
        <v>69</v>
      </c>
      <c r="BQ18" t="s">
        <v>69</v>
      </c>
      <c r="BR18" t="s">
        <v>152</v>
      </c>
      <c r="BS18" t="s">
        <v>69</v>
      </c>
      <c r="BT18">
        <v>181.191</v>
      </c>
      <c r="BU18" t="s">
        <v>69</v>
      </c>
      <c r="BV18" t="s">
        <v>69</v>
      </c>
    </row>
    <row r="19" spans="1:74" x14ac:dyDescent="0.25">
      <c r="A19">
        <v>7</v>
      </c>
      <c r="B19" t="str">
        <f>HYPERLINK("http://www.ncbi.nlm.nih.gov/protein/XP_015979392.2","XP_015979392.2")</f>
        <v>XP_015979392.2</v>
      </c>
      <c r="C19">
        <v>117142</v>
      </c>
      <c r="D19" t="str">
        <f>HYPERLINK("http://www.ncbi.nlm.nih.gov/Taxonomy/Browser/wwwtax.cgi?mode=Info&amp;id=9407&amp;lvl=3&amp;lin=f&amp;keep=1&amp;srchmode=1&amp;unlock","9407")</f>
        <v>9407</v>
      </c>
      <c r="E19" t="s">
        <v>66</v>
      </c>
      <c r="F19" t="str">
        <f>HYPERLINK("http://www.ncbi.nlm.nih.gov/Taxonomy/Browser/wwwtax.cgi?mode=Info&amp;id=9407&amp;lvl=3&amp;lin=f&amp;keep=1&amp;srchmode=1&amp;unlock","Rousettus aegyptiacus")</f>
        <v>Rousettus aegyptiacus</v>
      </c>
      <c r="G19" t="s">
        <v>103</v>
      </c>
      <c r="H19" t="str">
        <f>HYPERLINK("http://www.ncbi.nlm.nih.gov/protein/XP_015979392.2","NF-kappa-B essential modulator isoform X1")</f>
        <v>NF-kappa-B essential modulator isoform X1</v>
      </c>
      <c r="I19" t="s">
        <v>265</v>
      </c>
      <c r="J19" t="s">
        <v>69</v>
      </c>
      <c r="K19">
        <v>226</v>
      </c>
      <c r="L19" t="s">
        <v>76</v>
      </c>
      <c r="M19" t="s">
        <v>69</v>
      </c>
      <c r="N19" t="s">
        <v>75</v>
      </c>
      <c r="O19" t="s">
        <v>69</v>
      </c>
      <c r="P19">
        <v>146.18899999999999</v>
      </c>
      <c r="Q19" t="s">
        <v>69</v>
      </c>
      <c r="R19" t="s">
        <v>69</v>
      </c>
      <c r="S19">
        <v>228</v>
      </c>
      <c r="T19" t="s">
        <v>73</v>
      </c>
      <c r="U19" t="s">
        <v>69</v>
      </c>
      <c r="V19" t="s">
        <v>71</v>
      </c>
      <c r="W19" t="s">
        <v>69</v>
      </c>
      <c r="X19">
        <v>89.093999999999994</v>
      </c>
      <c r="Y19" t="s">
        <v>69</v>
      </c>
      <c r="Z19" t="s">
        <v>69</v>
      </c>
      <c r="AA19">
        <v>229</v>
      </c>
      <c r="AB19" t="s">
        <v>147</v>
      </c>
      <c r="AC19" t="s">
        <v>69</v>
      </c>
      <c r="AD19" t="s">
        <v>148</v>
      </c>
      <c r="AE19" t="s">
        <v>69</v>
      </c>
      <c r="AF19">
        <v>146.14599999999999</v>
      </c>
      <c r="AG19" t="s">
        <v>69</v>
      </c>
      <c r="AH19" t="s">
        <v>69</v>
      </c>
      <c r="AI19">
        <v>230</v>
      </c>
      <c r="AJ19" t="s">
        <v>72</v>
      </c>
      <c r="AK19" t="s">
        <v>69</v>
      </c>
      <c r="AL19" t="s">
        <v>71</v>
      </c>
      <c r="AM19" t="s">
        <v>69</v>
      </c>
      <c r="AN19">
        <v>131.17500000000001</v>
      </c>
      <c r="AO19" t="s">
        <v>69</v>
      </c>
      <c r="AP19" t="s">
        <v>69</v>
      </c>
      <c r="AQ19">
        <v>231</v>
      </c>
      <c r="AR19" t="s">
        <v>147</v>
      </c>
      <c r="AS19" t="s">
        <v>69</v>
      </c>
      <c r="AT19" t="s">
        <v>148</v>
      </c>
      <c r="AU19" t="s">
        <v>69</v>
      </c>
      <c r="AV19">
        <v>146.14599999999999</v>
      </c>
      <c r="AW19" t="s">
        <v>69</v>
      </c>
      <c r="AX19" t="s">
        <v>69</v>
      </c>
      <c r="AY19">
        <v>232</v>
      </c>
      <c r="AZ19" t="s">
        <v>115</v>
      </c>
      <c r="BA19" t="s">
        <v>69</v>
      </c>
      <c r="BB19" t="s">
        <v>71</v>
      </c>
      <c r="BC19" t="s">
        <v>69</v>
      </c>
      <c r="BD19">
        <v>117.148</v>
      </c>
      <c r="BE19" t="s">
        <v>69</v>
      </c>
      <c r="BF19" t="s">
        <v>69</v>
      </c>
      <c r="BG19">
        <v>233</v>
      </c>
      <c r="BH19" t="s">
        <v>73</v>
      </c>
      <c r="BI19" t="s">
        <v>69</v>
      </c>
      <c r="BJ19" t="s">
        <v>71</v>
      </c>
      <c r="BK19" t="s">
        <v>69</v>
      </c>
      <c r="BL19">
        <v>89.093999999999994</v>
      </c>
      <c r="BM19" t="s">
        <v>69</v>
      </c>
      <c r="BN19" t="s">
        <v>69</v>
      </c>
      <c r="BO19">
        <v>234</v>
      </c>
      <c r="BP19" t="s">
        <v>69</v>
      </c>
      <c r="BQ19" t="s">
        <v>69</v>
      </c>
      <c r="BR19" t="s">
        <v>152</v>
      </c>
      <c r="BS19" t="s">
        <v>69</v>
      </c>
      <c r="BT19">
        <v>181.191</v>
      </c>
      <c r="BU19" t="s">
        <v>69</v>
      </c>
      <c r="BV19" t="s">
        <v>69</v>
      </c>
    </row>
    <row r="20" spans="1:74" x14ac:dyDescent="0.25">
      <c r="A20">
        <v>7</v>
      </c>
      <c r="B20" t="str">
        <f>HYPERLINK("http://www.ncbi.nlm.nih.gov/protein/NP_001164965.1","NP_001164965.1")</f>
        <v>NP_001164965.1</v>
      </c>
      <c r="C20">
        <v>53150</v>
      </c>
      <c r="D20" t="str">
        <f>HYPERLINK("http://www.ncbi.nlm.nih.gov/Taxonomy/Browser/wwwtax.cgi?mode=Info&amp;id=9986&amp;lvl=3&amp;lin=f&amp;keep=1&amp;srchmode=1&amp;unlock","9986")</f>
        <v>9986</v>
      </c>
      <c r="E20" t="s">
        <v>66</v>
      </c>
      <c r="F20" t="str">
        <f>HYPERLINK("http://www.ncbi.nlm.nih.gov/Taxonomy/Browser/wwwtax.cgi?mode=Info&amp;id=9986&amp;lvl=3&amp;lin=f&amp;keep=1&amp;srchmode=1&amp;unlock","Oryctolagus cuniculus")</f>
        <v>Oryctolagus cuniculus</v>
      </c>
      <c r="G20" t="s">
        <v>83</v>
      </c>
      <c r="H20" t="str">
        <f>HYPERLINK("http://www.ncbi.nlm.nih.gov/protein/NP_001164965.1","NF-kappa-B essential modulator")</f>
        <v>NF-kappa-B essential modulator</v>
      </c>
      <c r="I20" t="s">
        <v>265</v>
      </c>
      <c r="J20" t="s">
        <v>69</v>
      </c>
      <c r="K20">
        <v>226</v>
      </c>
      <c r="L20" t="s">
        <v>76</v>
      </c>
      <c r="M20" t="s">
        <v>69</v>
      </c>
      <c r="N20" t="s">
        <v>75</v>
      </c>
      <c r="O20" t="s">
        <v>69</v>
      </c>
      <c r="P20">
        <v>146.18899999999999</v>
      </c>
      <c r="Q20" t="s">
        <v>69</v>
      </c>
      <c r="R20" t="s">
        <v>69</v>
      </c>
      <c r="S20">
        <v>228</v>
      </c>
      <c r="T20" t="s">
        <v>73</v>
      </c>
      <c r="U20" t="s">
        <v>69</v>
      </c>
      <c r="V20" t="s">
        <v>71</v>
      </c>
      <c r="W20" t="s">
        <v>69</v>
      </c>
      <c r="X20">
        <v>89.093999999999994</v>
      </c>
      <c r="Y20" t="s">
        <v>69</v>
      </c>
      <c r="Z20" t="s">
        <v>69</v>
      </c>
      <c r="AA20">
        <v>229</v>
      </c>
      <c r="AB20" t="s">
        <v>147</v>
      </c>
      <c r="AC20" t="s">
        <v>69</v>
      </c>
      <c r="AD20" t="s">
        <v>148</v>
      </c>
      <c r="AE20" t="s">
        <v>69</v>
      </c>
      <c r="AF20">
        <v>146.14599999999999</v>
      </c>
      <c r="AG20" t="s">
        <v>69</v>
      </c>
      <c r="AH20" t="s">
        <v>69</v>
      </c>
      <c r="AI20">
        <v>230</v>
      </c>
      <c r="AJ20" t="s">
        <v>72</v>
      </c>
      <c r="AK20" t="s">
        <v>69</v>
      </c>
      <c r="AL20" t="s">
        <v>71</v>
      </c>
      <c r="AM20" t="s">
        <v>69</v>
      </c>
      <c r="AN20">
        <v>131.17500000000001</v>
      </c>
      <c r="AO20" t="s">
        <v>69</v>
      </c>
      <c r="AP20" t="s">
        <v>69</v>
      </c>
      <c r="AQ20">
        <v>231</v>
      </c>
      <c r="AR20" t="s">
        <v>147</v>
      </c>
      <c r="AS20" t="s">
        <v>69</v>
      </c>
      <c r="AT20" t="s">
        <v>148</v>
      </c>
      <c r="AU20" t="s">
        <v>69</v>
      </c>
      <c r="AV20">
        <v>146.14599999999999</v>
      </c>
      <c r="AW20" t="s">
        <v>69</v>
      </c>
      <c r="AX20" t="s">
        <v>69</v>
      </c>
      <c r="AY20">
        <v>232</v>
      </c>
      <c r="AZ20" t="s">
        <v>115</v>
      </c>
      <c r="BA20" t="s">
        <v>69</v>
      </c>
      <c r="BB20" t="s">
        <v>71</v>
      </c>
      <c r="BC20" t="s">
        <v>69</v>
      </c>
      <c r="BD20">
        <v>117.148</v>
      </c>
      <c r="BE20" t="s">
        <v>69</v>
      </c>
      <c r="BF20" t="s">
        <v>69</v>
      </c>
      <c r="BG20">
        <v>233</v>
      </c>
      <c r="BH20" t="s">
        <v>73</v>
      </c>
      <c r="BI20" t="s">
        <v>69</v>
      </c>
      <c r="BJ20" t="s">
        <v>71</v>
      </c>
      <c r="BK20" t="s">
        <v>69</v>
      </c>
      <c r="BL20">
        <v>89.093999999999994</v>
      </c>
      <c r="BM20" t="s">
        <v>69</v>
      </c>
      <c r="BN20" t="s">
        <v>69</v>
      </c>
      <c r="BO20">
        <v>234</v>
      </c>
      <c r="BP20" t="s">
        <v>69</v>
      </c>
      <c r="BQ20" t="s">
        <v>69</v>
      </c>
      <c r="BR20" t="s">
        <v>152</v>
      </c>
      <c r="BS20" t="s">
        <v>69</v>
      </c>
      <c r="BT20">
        <v>181.191</v>
      </c>
      <c r="BU20" t="s">
        <v>69</v>
      </c>
      <c r="BV20" t="s">
        <v>69</v>
      </c>
    </row>
    <row r="21" spans="1:74" x14ac:dyDescent="0.25">
      <c r="A21">
        <v>7</v>
      </c>
      <c r="B21" t="str">
        <f>HYPERLINK("http://www.ncbi.nlm.nih.gov/protein/XP_042830262.1","XP_042830262.1")</f>
        <v>XP_042830262.1</v>
      </c>
      <c r="C21">
        <v>56089</v>
      </c>
      <c r="D21" t="str">
        <f>HYPERLINK("http://www.ncbi.nlm.nih.gov/Taxonomy/Browser/wwwtax.cgi?mode=Info&amp;id=9694&amp;lvl=3&amp;lin=f&amp;keep=1&amp;srchmode=1&amp;unlock","9694")</f>
        <v>9694</v>
      </c>
      <c r="E21" t="s">
        <v>66</v>
      </c>
      <c r="F21" t="str">
        <f>HYPERLINK("http://www.ncbi.nlm.nih.gov/Taxonomy/Browser/wwwtax.cgi?mode=Info&amp;id=9694&amp;lvl=3&amp;lin=f&amp;keep=1&amp;srchmode=1&amp;unlock","Panthera tigris")</f>
        <v>Panthera tigris</v>
      </c>
      <c r="G21" t="s">
        <v>89</v>
      </c>
      <c r="H21" t="str">
        <f>HYPERLINK("http://www.ncbi.nlm.nih.gov/protein/XP_042830262.1","NF-kappa-B essential modulator isoform X1")</f>
        <v>NF-kappa-B essential modulator isoform X1</v>
      </c>
      <c r="I21" t="s">
        <v>265</v>
      </c>
      <c r="J21" t="s">
        <v>69</v>
      </c>
      <c r="K21">
        <v>226</v>
      </c>
      <c r="L21" t="s">
        <v>76</v>
      </c>
      <c r="M21" t="s">
        <v>69</v>
      </c>
      <c r="N21" t="s">
        <v>75</v>
      </c>
      <c r="O21" t="s">
        <v>69</v>
      </c>
      <c r="P21">
        <v>146.18899999999999</v>
      </c>
      <c r="Q21" t="s">
        <v>69</v>
      </c>
      <c r="R21" t="s">
        <v>69</v>
      </c>
      <c r="S21">
        <v>228</v>
      </c>
      <c r="T21" t="s">
        <v>73</v>
      </c>
      <c r="U21" t="s">
        <v>69</v>
      </c>
      <c r="V21" t="s">
        <v>71</v>
      </c>
      <c r="W21" t="s">
        <v>69</v>
      </c>
      <c r="X21">
        <v>89.093999999999994</v>
      </c>
      <c r="Y21" t="s">
        <v>69</v>
      </c>
      <c r="Z21" t="s">
        <v>69</v>
      </c>
      <c r="AA21">
        <v>229</v>
      </c>
      <c r="AB21" t="s">
        <v>147</v>
      </c>
      <c r="AC21" t="s">
        <v>69</v>
      </c>
      <c r="AD21" t="s">
        <v>148</v>
      </c>
      <c r="AE21" t="s">
        <v>69</v>
      </c>
      <c r="AF21">
        <v>146.14599999999999</v>
      </c>
      <c r="AG21" t="s">
        <v>69</v>
      </c>
      <c r="AH21" t="s">
        <v>69</v>
      </c>
      <c r="AI21">
        <v>230</v>
      </c>
      <c r="AJ21" t="s">
        <v>72</v>
      </c>
      <c r="AK21" t="s">
        <v>69</v>
      </c>
      <c r="AL21" t="s">
        <v>71</v>
      </c>
      <c r="AM21" t="s">
        <v>69</v>
      </c>
      <c r="AN21">
        <v>131.17500000000001</v>
      </c>
      <c r="AO21" t="s">
        <v>69</v>
      </c>
      <c r="AP21" t="s">
        <v>69</v>
      </c>
      <c r="AQ21">
        <v>231</v>
      </c>
      <c r="AR21" t="s">
        <v>147</v>
      </c>
      <c r="AS21" t="s">
        <v>69</v>
      </c>
      <c r="AT21" t="s">
        <v>148</v>
      </c>
      <c r="AU21" t="s">
        <v>69</v>
      </c>
      <c r="AV21">
        <v>146.14599999999999</v>
      </c>
      <c r="AW21" t="s">
        <v>69</v>
      </c>
      <c r="AX21" t="s">
        <v>69</v>
      </c>
      <c r="AY21">
        <v>232</v>
      </c>
      <c r="AZ21" t="s">
        <v>115</v>
      </c>
      <c r="BA21" t="s">
        <v>69</v>
      </c>
      <c r="BB21" t="s">
        <v>71</v>
      </c>
      <c r="BC21" t="s">
        <v>69</v>
      </c>
      <c r="BD21">
        <v>117.148</v>
      </c>
      <c r="BE21" t="s">
        <v>69</v>
      </c>
      <c r="BF21" t="s">
        <v>69</v>
      </c>
      <c r="BG21">
        <v>233</v>
      </c>
      <c r="BH21" t="s">
        <v>73</v>
      </c>
      <c r="BI21" t="s">
        <v>69</v>
      </c>
      <c r="BJ21" t="s">
        <v>71</v>
      </c>
      <c r="BK21" t="s">
        <v>69</v>
      </c>
      <c r="BL21">
        <v>89.093999999999994</v>
      </c>
      <c r="BM21" t="s">
        <v>69</v>
      </c>
      <c r="BN21" t="s">
        <v>69</v>
      </c>
      <c r="BO21">
        <v>234</v>
      </c>
      <c r="BP21" t="s">
        <v>69</v>
      </c>
      <c r="BQ21" t="s">
        <v>69</v>
      </c>
      <c r="BR21" t="s">
        <v>152</v>
      </c>
      <c r="BS21" t="s">
        <v>69</v>
      </c>
      <c r="BT21">
        <v>181.191</v>
      </c>
      <c r="BU21" t="s">
        <v>69</v>
      </c>
      <c r="BV21" t="s">
        <v>69</v>
      </c>
    </row>
    <row r="22" spans="1:74" x14ac:dyDescent="0.25">
      <c r="A22">
        <v>7</v>
      </c>
      <c r="B22" t="str">
        <f>HYPERLINK("http://www.ncbi.nlm.nih.gov/protein/NP_776779.1","NP_776779.1")</f>
        <v>NP_776779.1</v>
      </c>
      <c r="C22">
        <v>136186</v>
      </c>
      <c r="D22" t="str">
        <f>HYPERLINK("http://www.ncbi.nlm.nih.gov/Taxonomy/Browser/wwwtax.cgi?mode=Info&amp;id=9913&amp;lvl=3&amp;lin=f&amp;keep=1&amp;srchmode=1&amp;unlock","9913")</f>
        <v>9913</v>
      </c>
      <c r="E22" t="s">
        <v>66</v>
      </c>
      <c r="F22" t="str">
        <f>HYPERLINK("http://www.ncbi.nlm.nih.gov/Taxonomy/Browser/wwwtax.cgi?mode=Info&amp;id=9913&amp;lvl=3&amp;lin=f&amp;keep=1&amp;srchmode=1&amp;unlock","Bos taurus")</f>
        <v>Bos taurus</v>
      </c>
      <c r="G22" t="s">
        <v>82</v>
      </c>
      <c r="H22" t="str">
        <f>HYPERLINK("http://www.ncbi.nlm.nih.gov/protein/NP_776779.1","NF-kappa-B essential modulator")</f>
        <v>NF-kappa-B essential modulator</v>
      </c>
      <c r="I22" t="s">
        <v>265</v>
      </c>
      <c r="J22" t="s">
        <v>69</v>
      </c>
      <c r="K22">
        <v>226</v>
      </c>
      <c r="L22" t="s">
        <v>76</v>
      </c>
      <c r="M22" t="s">
        <v>69</v>
      </c>
      <c r="N22" t="s">
        <v>75</v>
      </c>
      <c r="O22" t="s">
        <v>69</v>
      </c>
      <c r="P22">
        <v>146.18899999999999</v>
      </c>
      <c r="Q22" t="s">
        <v>69</v>
      </c>
      <c r="R22" t="s">
        <v>69</v>
      </c>
      <c r="S22">
        <v>228</v>
      </c>
      <c r="T22" t="s">
        <v>73</v>
      </c>
      <c r="U22" t="s">
        <v>69</v>
      </c>
      <c r="V22" t="s">
        <v>71</v>
      </c>
      <c r="W22" t="s">
        <v>69</v>
      </c>
      <c r="X22">
        <v>89.093999999999994</v>
      </c>
      <c r="Y22" t="s">
        <v>69</v>
      </c>
      <c r="Z22" t="s">
        <v>69</v>
      </c>
      <c r="AA22">
        <v>229</v>
      </c>
      <c r="AB22" t="s">
        <v>147</v>
      </c>
      <c r="AC22" t="s">
        <v>69</v>
      </c>
      <c r="AD22" t="s">
        <v>148</v>
      </c>
      <c r="AE22" t="s">
        <v>69</v>
      </c>
      <c r="AF22">
        <v>146.14599999999999</v>
      </c>
      <c r="AG22" t="s">
        <v>69</v>
      </c>
      <c r="AH22" t="s">
        <v>69</v>
      </c>
      <c r="AI22">
        <v>230</v>
      </c>
      <c r="AJ22" t="s">
        <v>72</v>
      </c>
      <c r="AK22" t="s">
        <v>69</v>
      </c>
      <c r="AL22" t="s">
        <v>71</v>
      </c>
      <c r="AM22" t="s">
        <v>69</v>
      </c>
      <c r="AN22">
        <v>131.17500000000001</v>
      </c>
      <c r="AO22" t="s">
        <v>69</v>
      </c>
      <c r="AP22" t="s">
        <v>69</v>
      </c>
      <c r="AQ22">
        <v>231</v>
      </c>
      <c r="AR22" t="s">
        <v>147</v>
      </c>
      <c r="AS22" t="s">
        <v>69</v>
      </c>
      <c r="AT22" t="s">
        <v>148</v>
      </c>
      <c r="AU22" t="s">
        <v>69</v>
      </c>
      <c r="AV22">
        <v>146.14599999999999</v>
      </c>
      <c r="AW22" t="s">
        <v>69</v>
      </c>
      <c r="AX22" t="s">
        <v>69</v>
      </c>
      <c r="AY22">
        <v>232</v>
      </c>
      <c r="AZ22" t="s">
        <v>115</v>
      </c>
      <c r="BA22" t="s">
        <v>69</v>
      </c>
      <c r="BB22" t="s">
        <v>71</v>
      </c>
      <c r="BC22" t="s">
        <v>69</v>
      </c>
      <c r="BD22">
        <v>117.148</v>
      </c>
      <c r="BE22" t="s">
        <v>69</v>
      </c>
      <c r="BF22" t="s">
        <v>69</v>
      </c>
      <c r="BG22">
        <v>233</v>
      </c>
      <c r="BH22" t="s">
        <v>73</v>
      </c>
      <c r="BI22" t="s">
        <v>69</v>
      </c>
      <c r="BJ22" t="s">
        <v>71</v>
      </c>
      <c r="BK22" t="s">
        <v>69</v>
      </c>
      <c r="BL22">
        <v>89.093999999999994</v>
      </c>
      <c r="BM22" t="s">
        <v>69</v>
      </c>
      <c r="BN22" t="s">
        <v>69</v>
      </c>
      <c r="BO22">
        <v>234</v>
      </c>
      <c r="BP22" t="s">
        <v>69</v>
      </c>
      <c r="BQ22" t="s">
        <v>69</v>
      </c>
      <c r="BR22" t="s">
        <v>152</v>
      </c>
      <c r="BS22" t="s">
        <v>69</v>
      </c>
      <c r="BT22">
        <v>181.191</v>
      </c>
      <c r="BU22" t="s">
        <v>69</v>
      </c>
      <c r="BV22" t="s">
        <v>69</v>
      </c>
    </row>
    <row r="23" spans="1:74" x14ac:dyDescent="0.25">
      <c r="A23">
        <v>7</v>
      </c>
      <c r="B23" t="str">
        <f>HYPERLINK("http://www.ncbi.nlm.nih.gov/protein/NP_001106524.1","NP_001106524.1")</f>
        <v>NP_001106524.1</v>
      </c>
      <c r="C23">
        <v>86952</v>
      </c>
      <c r="D23" t="str">
        <f>HYPERLINK("http://www.ncbi.nlm.nih.gov/Taxonomy/Browser/wwwtax.cgi?mode=Info&amp;id=9823&amp;lvl=3&amp;lin=f&amp;keep=1&amp;srchmode=1&amp;unlock","9823")</f>
        <v>9823</v>
      </c>
      <c r="E23" t="s">
        <v>66</v>
      </c>
      <c r="F23" t="str">
        <f>HYPERLINK("http://www.ncbi.nlm.nih.gov/Taxonomy/Browser/wwwtax.cgi?mode=Info&amp;id=9823&amp;lvl=3&amp;lin=f&amp;keep=1&amp;srchmode=1&amp;unlock","Sus scrofa")</f>
        <v>Sus scrofa</v>
      </c>
      <c r="G23" t="s">
        <v>85</v>
      </c>
      <c r="H23" t="str">
        <f>HYPERLINK("http://www.ncbi.nlm.nih.gov/protein/NP_001106524.1","NF-kappa-B essential modulator")</f>
        <v>NF-kappa-B essential modulator</v>
      </c>
      <c r="I23" t="s">
        <v>265</v>
      </c>
      <c r="J23" t="s">
        <v>69</v>
      </c>
      <c r="K23">
        <v>226</v>
      </c>
      <c r="L23" t="s">
        <v>76</v>
      </c>
      <c r="M23" t="s">
        <v>69</v>
      </c>
      <c r="N23" t="s">
        <v>75</v>
      </c>
      <c r="O23" t="s">
        <v>69</v>
      </c>
      <c r="P23">
        <v>146.18899999999999</v>
      </c>
      <c r="Q23" t="s">
        <v>69</v>
      </c>
      <c r="R23" t="s">
        <v>69</v>
      </c>
      <c r="S23">
        <v>228</v>
      </c>
      <c r="T23" t="s">
        <v>73</v>
      </c>
      <c r="U23" t="s">
        <v>69</v>
      </c>
      <c r="V23" t="s">
        <v>71</v>
      </c>
      <c r="W23" t="s">
        <v>69</v>
      </c>
      <c r="X23">
        <v>89.093999999999994</v>
      </c>
      <c r="Y23" t="s">
        <v>69</v>
      </c>
      <c r="Z23" t="s">
        <v>69</v>
      </c>
      <c r="AA23">
        <v>229</v>
      </c>
      <c r="AB23" t="s">
        <v>147</v>
      </c>
      <c r="AC23" t="s">
        <v>69</v>
      </c>
      <c r="AD23" t="s">
        <v>148</v>
      </c>
      <c r="AE23" t="s">
        <v>69</v>
      </c>
      <c r="AF23">
        <v>146.14599999999999</v>
      </c>
      <c r="AG23" t="s">
        <v>69</v>
      </c>
      <c r="AH23" t="s">
        <v>69</v>
      </c>
      <c r="AI23">
        <v>230</v>
      </c>
      <c r="AJ23" t="s">
        <v>72</v>
      </c>
      <c r="AK23" t="s">
        <v>69</v>
      </c>
      <c r="AL23" t="s">
        <v>71</v>
      </c>
      <c r="AM23" t="s">
        <v>69</v>
      </c>
      <c r="AN23">
        <v>131.17500000000001</v>
      </c>
      <c r="AO23" t="s">
        <v>69</v>
      </c>
      <c r="AP23" t="s">
        <v>69</v>
      </c>
      <c r="AQ23">
        <v>231</v>
      </c>
      <c r="AR23" t="s">
        <v>147</v>
      </c>
      <c r="AS23" t="s">
        <v>69</v>
      </c>
      <c r="AT23" t="s">
        <v>148</v>
      </c>
      <c r="AU23" t="s">
        <v>69</v>
      </c>
      <c r="AV23">
        <v>146.14599999999999</v>
      </c>
      <c r="AW23" t="s">
        <v>69</v>
      </c>
      <c r="AX23" t="s">
        <v>69</v>
      </c>
      <c r="AY23">
        <v>232</v>
      </c>
      <c r="AZ23" t="s">
        <v>115</v>
      </c>
      <c r="BA23" t="s">
        <v>69</v>
      </c>
      <c r="BB23" t="s">
        <v>71</v>
      </c>
      <c r="BC23" t="s">
        <v>69</v>
      </c>
      <c r="BD23">
        <v>117.148</v>
      </c>
      <c r="BE23" t="s">
        <v>69</v>
      </c>
      <c r="BF23" t="s">
        <v>69</v>
      </c>
      <c r="BG23">
        <v>233</v>
      </c>
      <c r="BH23" t="s">
        <v>73</v>
      </c>
      <c r="BI23" t="s">
        <v>69</v>
      </c>
      <c r="BJ23" t="s">
        <v>71</v>
      </c>
      <c r="BK23" t="s">
        <v>69</v>
      </c>
      <c r="BL23">
        <v>89.093999999999994</v>
      </c>
      <c r="BM23" t="s">
        <v>69</v>
      </c>
      <c r="BN23" t="s">
        <v>69</v>
      </c>
      <c r="BO23">
        <v>234</v>
      </c>
      <c r="BP23" t="s">
        <v>69</v>
      </c>
      <c r="BQ23" t="s">
        <v>69</v>
      </c>
      <c r="BR23" t="s">
        <v>152</v>
      </c>
      <c r="BS23" t="s">
        <v>69</v>
      </c>
      <c r="BT23">
        <v>181.191</v>
      </c>
      <c r="BU23" t="s">
        <v>69</v>
      </c>
      <c r="BV23" t="s">
        <v>69</v>
      </c>
    </row>
    <row r="24" spans="1:74" x14ac:dyDescent="0.25">
      <c r="A24">
        <v>7</v>
      </c>
      <c r="B24" t="str">
        <f>HYPERLINK("http://www.ncbi.nlm.nih.gov/protein/XP_042125497.1","XP_042125497.1")</f>
        <v>XP_042125497.1</v>
      </c>
      <c r="C24">
        <v>54287</v>
      </c>
      <c r="D24" t="str">
        <f>HYPERLINK("http://www.ncbi.nlm.nih.gov/Taxonomy/Browser/wwwtax.cgi?mode=Info&amp;id=230844&amp;lvl=3&amp;lin=f&amp;keep=1&amp;srchmode=1&amp;unlock","230844")</f>
        <v>230844</v>
      </c>
      <c r="E24" t="s">
        <v>66</v>
      </c>
      <c r="F24" t="str">
        <f>HYPERLINK("http://www.ncbi.nlm.nih.gov/Taxonomy/Browser/wwwtax.cgi?mode=Info&amp;id=230844&amp;lvl=3&amp;lin=f&amp;keep=1&amp;srchmode=1&amp;unlock","Peromyscus maniculatus bairdii")</f>
        <v>Peromyscus maniculatus bairdii</v>
      </c>
      <c r="G24" t="s">
        <v>88</v>
      </c>
      <c r="H24" t="str">
        <f>HYPERLINK("http://www.ncbi.nlm.nih.gov/protein/XP_042125497.1","NF-kappa-B essential modulator isoform X3")</f>
        <v>NF-kappa-B essential modulator isoform X3</v>
      </c>
      <c r="I24" t="s">
        <v>265</v>
      </c>
      <c r="J24" t="s">
        <v>69</v>
      </c>
      <c r="K24">
        <v>226</v>
      </c>
      <c r="L24" t="s">
        <v>76</v>
      </c>
      <c r="M24" t="s">
        <v>69</v>
      </c>
      <c r="N24" t="s">
        <v>75</v>
      </c>
      <c r="O24" t="s">
        <v>69</v>
      </c>
      <c r="P24">
        <v>146.18899999999999</v>
      </c>
      <c r="Q24" t="s">
        <v>69</v>
      </c>
      <c r="R24" t="s">
        <v>69</v>
      </c>
      <c r="S24">
        <v>228</v>
      </c>
      <c r="T24" t="s">
        <v>73</v>
      </c>
      <c r="U24" t="s">
        <v>69</v>
      </c>
      <c r="V24" t="s">
        <v>71</v>
      </c>
      <c r="W24" t="s">
        <v>69</v>
      </c>
      <c r="X24">
        <v>89.093999999999994</v>
      </c>
      <c r="Y24" t="s">
        <v>69</v>
      </c>
      <c r="Z24" t="s">
        <v>69</v>
      </c>
      <c r="AA24">
        <v>229</v>
      </c>
      <c r="AB24" t="s">
        <v>147</v>
      </c>
      <c r="AC24" t="s">
        <v>69</v>
      </c>
      <c r="AD24" t="s">
        <v>148</v>
      </c>
      <c r="AE24" t="s">
        <v>69</v>
      </c>
      <c r="AF24">
        <v>146.14599999999999</v>
      </c>
      <c r="AG24" t="s">
        <v>69</v>
      </c>
      <c r="AH24" t="s">
        <v>69</v>
      </c>
      <c r="AI24">
        <v>230</v>
      </c>
      <c r="AJ24" t="s">
        <v>72</v>
      </c>
      <c r="AK24" t="s">
        <v>69</v>
      </c>
      <c r="AL24" t="s">
        <v>71</v>
      </c>
      <c r="AM24" t="s">
        <v>69</v>
      </c>
      <c r="AN24">
        <v>131.17500000000001</v>
      </c>
      <c r="AO24" t="s">
        <v>69</v>
      </c>
      <c r="AP24" t="s">
        <v>69</v>
      </c>
      <c r="AQ24">
        <v>231</v>
      </c>
      <c r="AR24" t="s">
        <v>147</v>
      </c>
      <c r="AS24" t="s">
        <v>69</v>
      </c>
      <c r="AT24" t="s">
        <v>148</v>
      </c>
      <c r="AU24" t="s">
        <v>69</v>
      </c>
      <c r="AV24">
        <v>146.14599999999999</v>
      </c>
      <c r="AW24" t="s">
        <v>69</v>
      </c>
      <c r="AX24" t="s">
        <v>69</v>
      </c>
      <c r="AY24">
        <v>232</v>
      </c>
      <c r="AZ24" t="s">
        <v>73</v>
      </c>
      <c r="BA24" t="s">
        <v>153</v>
      </c>
      <c r="BB24" t="s">
        <v>71</v>
      </c>
      <c r="BC24" t="s">
        <v>69</v>
      </c>
      <c r="BD24">
        <v>89.093999999999994</v>
      </c>
      <c r="BE24" t="s">
        <v>69</v>
      </c>
      <c r="BF24" t="s">
        <v>69</v>
      </c>
      <c r="BG24">
        <v>233</v>
      </c>
      <c r="BH24" t="s">
        <v>73</v>
      </c>
      <c r="BI24" t="s">
        <v>69</v>
      </c>
      <c r="BJ24" t="s">
        <v>71</v>
      </c>
      <c r="BK24" t="s">
        <v>69</v>
      </c>
      <c r="BL24">
        <v>89.093999999999994</v>
      </c>
      <c r="BM24" t="s">
        <v>69</v>
      </c>
      <c r="BN24" t="s">
        <v>69</v>
      </c>
      <c r="BO24">
        <v>234</v>
      </c>
      <c r="BP24" t="s">
        <v>69</v>
      </c>
      <c r="BQ24" t="s">
        <v>69</v>
      </c>
      <c r="BR24" t="s">
        <v>152</v>
      </c>
      <c r="BS24" t="s">
        <v>69</v>
      </c>
      <c r="BT24">
        <v>181.191</v>
      </c>
      <c r="BU24" t="s">
        <v>69</v>
      </c>
      <c r="BV24" t="s">
        <v>69</v>
      </c>
    </row>
    <row r="25" spans="1:74" x14ac:dyDescent="0.25">
      <c r="A25">
        <v>7</v>
      </c>
      <c r="B25" t="str">
        <f>HYPERLINK("http://www.ncbi.nlm.nih.gov/protein/NP_001154895.1","NP_001154895.1")</f>
        <v>NP_001154895.1</v>
      </c>
      <c r="C25">
        <v>337449</v>
      </c>
      <c r="D25" t="str">
        <f>HYPERLINK("http://www.ncbi.nlm.nih.gov/Taxonomy/Browser/wwwtax.cgi?mode=Info&amp;id=10090&amp;lvl=3&amp;lin=f&amp;keep=1&amp;srchmode=1&amp;unlock","10090")</f>
        <v>10090</v>
      </c>
      <c r="E25" t="s">
        <v>66</v>
      </c>
      <c r="F25" t="str">
        <f>HYPERLINK("http://www.ncbi.nlm.nih.gov/Taxonomy/Browser/wwwtax.cgi?mode=Info&amp;id=10090&amp;lvl=3&amp;lin=f&amp;keep=1&amp;srchmode=1&amp;unlock","Mus musculus")</f>
        <v>Mus musculus</v>
      </c>
      <c r="G25" t="s">
        <v>104</v>
      </c>
      <c r="H25" t="str">
        <f>HYPERLINK("http://www.ncbi.nlm.nih.gov/protein/NP_001154895.1","NF-kappa-B essential modulator isoform 1")</f>
        <v>NF-kappa-B essential modulator isoform 1</v>
      </c>
      <c r="I25" t="s">
        <v>265</v>
      </c>
      <c r="J25" t="s">
        <v>69</v>
      </c>
      <c r="K25">
        <v>226</v>
      </c>
      <c r="L25" t="s">
        <v>76</v>
      </c>
      <c r="M25" t="s">
        <v>69</v>
      </c>
      <c r="N25" t="s">
        <v>75</v>
      </c>
      <c r="O25" t="s">
        <v>69</v>
      </c>
      <c r="P25">
        <v>146.18899999999999</v>
      </c>
      <c r="Q25" t="s">
        <v>69</v>
      </c>
      <c r="R25" t="s">
        <v>69</v>
      </c>
      <c r="S25">
        <v>228</v>
      </c>
      <c r="T25" t="s">
        <v>73</v>
      </c>
      <c r="U25" t="s">
        <v>69</v>
      </c>
      <c r="V25" t="s">
        <v>71</v>
      </c>
      <c r="W25" t="s">
        <v>69</v>
      </c>
      <c r="X25">
        <v>89.093999999999994</v>
      </c>
      <c r="Y25" t="s">
        <v>69</v>
      </c>
      <c r="Z25" t="s">
        <v>69</v>
      </c>
      <c r="AA25">
        <v>229</v>
      </c>
      <c r="AB25" t="s">
        <v>147</v>
      </c>
      <c r="AC25" t="s">
        <v>69</v>
      </c>
      <c r="AD25" t="s">
        <v>148</v>
      </c>
      <c r="AE25" t="s">
        <v>69</v>
      </c>
      <c r="AF25">
        <v>146.14599999999999</v>
      </c>
      <c r="AG25" t="s">
        <v>69</v>
      </c>
      <c r="AH25" t="s">
        <v>69</v>
      </c>
      <c r="AI25">
        <v>230</v>
      </c>
      <c r="AJ25" t="s">
        <v>72</v>
      </c>
      <c r="AK25" t="s">
        <v>69</v>
      </c>
      <c r="AL25" t="s">
        <v>71</v>
      </c>
      <c r="AM25" t="s">
        <v>69</v>
      </c>
      <c r="AN25">
        <v>131.17500000000001</v>
      </c>
      <c r="AO25" t="s">
        <v>69</v>
      </c>
      <c r="AP25" t="s">
        <v>69</v>
      </c>
      <c r="AQ25">
        <v>231</v>
      </c>
      <c r="AR25" t="s">
        <v>147</v>
      </c>
      <c r="AS25" t="s">
        <v>69</v>
      </c>
      <c r="AT25" t="s">
        <v>148</v>
      </c>
      <c r="AU25" t="s">
        <v>69</v>
      </c>
      <c r="AV25">
        <v>146.14599999999999</v>
      </c>
      <c r="AW25" t="s">
        <v>69</v>
      </c>
      <c r="AX25" t="s">
        <v>69</v>
      </c>
      <c r="AY25">
        <v>232</v>
      </c>
      <c r="AZ25" t="s">
        <v>73</v>
      </c>
      <c r="BA25" t="s">
        <v>153</v>
      </c>
      <c r="BB25" t="s">
        <v>71</v>
      </c>
      <c r="BC25" t="s">
        <v>69</v>
      </c>
      <c r="BD25">
        <v>89.093999999999994</v>
      </c>
      <c r="BE25" t="s">
        <v>69</v>
      </c>
      <c r="BF25" t="s">
        <v>69</v>
      </c>
      <c r="BG25">
        <v>233</v>
      </c>
      <c r="BH25" t="s">
        <v>73</v>
      </c>
      <c r="BI25" t="s">
        <v>69</v>
      </c>
      <c r="BJ25" t="s">
        <v>71</v>
      </c>
      <c r="BK25" t="s">
        <v>69</v>
      </c>
      <c r="BL25">
        <v>89.093999999999994</v>
      </c>
      <c r="BM25" t="s">
        <v>69</v>
      </c>
      <c r="BN25" t="s">
        <v>69</v>
      </c>
      <c r="BO25">
        <v>234</v>
      </c>
      <c r="BP25" t="s">
        <v>69</v>
      </c>
      <c r="BQ25" t="s">
        <v>69</v>
      </c>
      <c r="BR25" t="s">
        <v>152</v>
      </c>
      <c r="BS25" t="s">
        <v>69</v>
      </c>
      <c r="BT25">
        <v>181.191</v>
      </c>
      <c r="BU25" t="s">
        <v>69</v>
      </c>
      <c r="BV25" t="s">
        <v>69</v>
      </c>
    </row>
    <row r="26" spans="1:74" x14ac:dyDescent="0.25">
      <c r="A26">
        <v>7</v>
      </c>
      <c r="B26" t="str">
        <f>HYPERLINK("http://www.ncbi.nlm.nih.gov/protein/NP_954534.1","NP_954534.1")</f>
        <v>NP_954534.1</v>
      </c>
      <c r="C26">
        <v>158159</v>
      </c>
      <c r="D26" t="str">
        <f>HYPERLINK("http://www.ncbi.nlm.nih.gov/Taxonomy/Browser/wwwtax.cgi?mode=Info&amp;id=10116&amp;lvl=3&amp;lin=f&amp;keep=1&amp;srchmode=1&amp;unlock","10116")</f>
        <v>10116</v>
      </c>
      <c r="E26" t="s">
        <v>66</v>
      </c>
      <c r="F26" t="str">
        <f>HYPERLINK("http://www.ncbi.nlm.nih.gov/Taxonomy/Browser/wwwtax.cgi?mode=Info&amp;id=10116&amp;lvl=3&amp;lin=f&amp;keep=1&amp;srchmode=1&amp;unlock","Rattus norvegicus")</f>
        <v>Rattus norvegicus</v>
      </c>
      <c r="G26" t="s">
        <v>102</v>
      </c>
      <c r="H26" t="str">
        <f>HYPERLINK("http://www.ncbi.nlm.nih.gov/protein/NP_954534.1","NF-kappa-B essential modulator")</f>
        <v>NF-kappa-B essential modulator</v>
      </c>
      <c r="I26" t="s">
        <v>265</v>
      </c>
      <c r="J26" t="s">
        <v>69</v>
      </c>
      <c r="K26">
        <v>226</v>
      </c>
      <c r="L26" t="s">
        <v>76</v>
      </c>
      <c r="M26" t="s">
        <v>69</v>
      </c>
      <c r="N26" t="s">
        <v>75</v>
      </c>
      <c r="O26" t="s">
        <v>69</v>
      </c>
      <c r="P26">
        <v>146.18899999999999</v>
      </c>
      <c r="Q26" t="s">
        <v>69</v>
      </c>
      <c r="R26" t="s">
        <v>69</v>
      </c>
      <c r="S26">
        <v>228</v>
      </c>
      <c r="T26" t="s">
        <v>73</v>
      </c>
      <c r="U26" t="s">
        <v>69</v>
      </c>
      <c r="V26" t="s">
        <v>71</v>
      </c>
      <c r="W26" t="s">
        <v>69</v>
      </c>
      <c r="X26">
        <v>89.093999999999994</v>
      </c>
      <c r="Y26" t="s">
        <v>69</v>
      </c>
      <c r="Z26" t="s">
        <v>69</v>
      </c>
      <c r="AA26">
        <v>229</v>
      </c>
      <c r="AB26" t="s">
        <v>147</v>
      </c>
      <c r="AC26" t="s">
        <v>69</v>
      </c>
      <c r="AD26" t="s">
        <v>148</v>
      </c>
      <c r="AE26" t="s">
        <v>69</v>
      </c>
      <c r="AF26">
        <v>146.14599999999999</v>
      </c>
      <c r="AG26" t="s">
        <v>69</v>
      </c>
      <c r="AH26" t="s">
        <v>69</v>
      </c>
      <c r="AI26">
        <v>230</v>
      </c>
      <c r="AJ26" t="s">
        <v>72</v>
      </c>
      <c r="AK26" t="s">
        <v>69</v>
      </c>
      <c r="AL26" t="s">
        <v>71</v>
      </c>
      <c r="AM26" t="s">
        <v>69</v>
      </c>
      <c r="AN26">
        <v>131.17500000000001</v>
      </c>
      <c r="AO26" t="s">
        <v>69</v>
      </c>
      <c r="AP26" t="s">
        <v>69</v>
      </c>
      <c r="AQ26">
        <v>231</v>
      </c>
      <c r="AR26" t="s">
        <v>147</v>
      </c>
      <c r="AS26" t="s">
        <v>69</v>
      </c>
      <c r="AT26" t="s">
        <v>148</v>
      </c>
      <c r="AU26" t="s">
        <v>69</v>
      </c>
      <c r="AV26">
        <v>146.14599999999999</v>
      </c>
      <c r="AW26" t="s">
        <v>69</v>
      </c>
      <c r="AX26" t="s">
        <v>69</v>
      </c>
      <c r="AY26">
        <v>232</v>
      </c>
      <c r="AZ26" t="s">
        <v>73</v>
      </c>
      <c r="BA26" t="s">
        <v>153</v>
      </c>
      <c r="BB26" t="s">
        <v>71</v>
      </c>
      <c r="BC26" t="s">
        <v>69</v>
      </c>
      <c r="BD26">
        <v>89.093999999999994</v>
      </c>
      <c r="BE26" t="s">
        <v>69</v>
      </c>
      <c r="BF26" t="s">
        <v>69</v>
      </c>
      <c r="BG26">
        <v>233</v>
      </c>
      <c r="BH26" t="s">
        <v>73</v>
      </c>
      <c r="BI26" t="s">
        <v>69</v>
      </c>
      <c r="BJ26" t="s">
        <v>71</v>
      </c>
      <c r="BK26" t="s">
        <v>69</v>
      </c>
      <c r="BL26">
        <v>89.093999999999994</v>
      </c>
      <c r="BM26" t="s">
        <v>69</v>
      </c>
      <c r="BN26" t="s">
        <v>69</v>
      </c>
      <c r="BO26">
        <v>234</v>
      </c>
      <c r="BP26" t="s">
        <v>69</v>
      </c>
      <c r="BQ26" t="s">
        <v>69</v>
      </c>
      <c r="BR26" t="s">
        <v>152</v>
      </c>
      <c r="BS26" t="s">
        <v>69</v>
      </c>
      <c r="BT26">
        <v>181.191</v>
      </c>
      <c r="BU26" t="s">
        <v>69</v>
      </c>
      <c r="BV26" t="s">
        <v>69</v>
      </c>
    </row>
    <row r="27" spans="1:74" x14ac:dyDescent="0.25">
      <c r="A27">
        <v>7</v>
      </c>
      <c r="B27" t="str">
        <f>HYPERLINK("http://www.ncbi.nlm.nih.gov/protein/ELV11191.1","ELV11191.1")</f>
        <v>ELV11191.1</v>
      </c>
      <c r="C27">
        <v>59507</v>
      </c>
      <c r="D27" t="str">
        <f>HYPERLINK("http://www.ncbi.nlm.nih.gov/Taxonomy/Browser/wwwtax.cgi?mode=Info&amp;id=246437&amp;lvl=3&amp;lin=f&amp;keep=1&amp;srchmode=1&amp;unlock","246437")</f>
        <v>246437</v>
      </c>
      <c r="E27" t="s">
        <v>66</v>
      </c>
      <c r="F27" t="str">
        <f>HYPERLINK("http://www.ncbi.nlm.nih.gov/Taxonomy/Browser/wwwtax.cgi?mode=Info&amp;id=246437&amp;lvl=3&amp;lin=f&amp;keep=1&amp;srchmode=1&amp;unlock","Tupaia chinensis")</f>
        <v>Tupaia chinensis</v>
      </c>
      <c r="G27" t="s">
        <v>97</v>
      </c>
      <c r="H27" t="str">
        <f>HYPERLINK("http://www.ncbi.nlm.nih.gov/protein/ELV11191.1","NF-kappa-B essential modulator")</f>
        <v>NF-kappa-B essential modulator</v>
      </c>
      <c r="I27" t="s">
        <v>265</v>
      </c>
      <c r="J27" t="s">
        <v>153</v>
      </c>
      <c r="K27">
        <v>226</v>
      </c>
      <c r="L27" t="s">
        <v>72</v>
      </c>
      <c r="M27" t="s">
        <v>153</v>
      </c>
      <c r="N27" t="s">
        <v>71</v>
      </c>
      <c r="O27" t="s">
        <v>153</v>
      </c>
      <c r="P27">
        <v>131.17500000000001</v>
      </c>
      <c r="Q27" t="s">
        <v>69</v>
      </c>
      <c r="R27" t="s">
        <v>69</v>
      </c>
      <c r="S27">
        <v>228</v>
      </c>
      <c r="T27" t="s">
        <v>74</v>
      </c>
      <c r="U27" t="s">
        <v>153</v>
      </c>
      <c r="V27" t="s">
        <v>75</v>
      </c>
      <c r="W27" t="s">
        <v>153</v>
      </c>
      <c r="X27">
        <v>174.203</v>
      </c>
      <c r="Y27" t="s">
        <v>153</v>
      </c>
      <c r="Z27" t="s">
        <v>153</v>
      </c>
      <c r="AA27">
        <v>229</v>
      </c>
      <c r="AB27" t="s">
        <v>156</v>
      </c>
      <c r="AC27" t="s">
        <v>153</v>
      </c>
      <c r="AD27" t="s">
        <v>120</v>
      </c>
      <c r="AE27" t="s">
        <v>153</v>
      </c>
      <c r="AF27">
        <v>133.10400000000001</v>
      </c>
      <c r="AG27" t="s">
        <v>69</v>
      </c>
      <c r="AH27" t="s">
        <v>69</v>
      </c>
      <c r="AI27">
        <v>230</v>
      </c>
      <c r="AJ27" t="s">
        <v>72</v>
      </c>
      <c r="AK27" t="s">
        <v>69</v>
      </c>
      <c r="AL27" t="s">
        <v>71</v>
      </c>
      <c r="AM27" t="s">
        <v>69</v>
      </c>
      <c r="AN27">
        <v>131.17500000000001</v>
      </c>
      <c r="AO27" t="s">
        <v>69</v>
      </c>
      <c r="AP27" t="s">
        <v>69</v>
      </c>
      <c r="AQ27">
        <v>231</v>
      </c>
      <c r="AR27" t="s">
        <v>70</v>
      </c>
      <c r="AS27" t="s">
        <v>153</v>
      </c>
      <c r="AT27" t="s">
        <v>71</v>
      </c>
      <c r="AU27" t="s">
        <v>153</v>
      </c>
      <c r="AV27">
        <v>75.066999999999993</v>
      </c>
      <c r="AW27" t="s">
        <v>153</v>
      </c>
      <c r="AX27" t="s">
        <v>153</v>
      </c>
      <c r="AY27">
        <v>232</v>
      </c>
      <c r="AZ27" t="s">
        <v>147</v>
      </c>
      <c r="BA27" t="s">
        <v>153</v>
      </c>
      <c r="BB27" t="s">
        <v>148</v>
      </c>
      <c r="BC27" t="s">
        <v>153</v>
      </c>
      <c r="BD27">
        <v>146.14599999999999</v>
      </c>
      <c r="BE27" t="s">
        <v>69</v>
      </c>
      <c r="BF27" t="s">
        <v>69</v>
      </c>
      <c r="BG27">
        <v>233</v>
      </c>
      <c r="BH27" t="s">
        <v>73</v>
      </c>
      <c r="BI27" t="s">
        <v>69</v>
      </c>
      <c r="BJ27" t="s">
        <v>71</v>
      </c>
      <c r="BK27" t="s">
        <v>69</v>
      </c>
      <c r="BL27">
        <v>89.093999999999994</v>
      </c>
      <c r="BM27" t="s">
        <v>69</v>
      </c>
      <c r="BN27" t="s">
        <v>69</v>
      </c>
      <c r="BO27">
        <v>234</v>
      </c>
      <c r="BP27" t="s">
        <v>69</v>
      </c>
      <c r="BQ27" t="s">
        <v>69</v>
      </c>
      <c r="BR27" t="s">
        <v>152</v>
      </c>
      <c r="BS27" t="s">
        <v>69</v>
      </c>
      <c r="BT27">
        <v>181.191</v>
      </c>
      <c r="BU27" t="s">
        <v>69</v>
      </c>
      <c r="BV27" t="s">
        <v>69</v>
      </c>
    </row>
    <row r="28" spans="1:74" x14ac:dyDescent="0.25">
      <c r="A28">
        <v>7</v>
      </c>
      <c r="B28" t="str">
        <f>HYPERLINK("http://www.ncbi.nlm.nih.gov/protein/XP_012981324.1","XP_012981324.1")</f>
        <v>XP_012981324.1</v>
      </c>
      <c r="C28">
        <v>54410</v>
      </c>
      <c r="D28" t="str">
        <f>HYPERLINK("http://www.ncbi.nlm.nih.gov/Taxonomy/Browser/wwwtax.cgi?mode=Info&amp;id=10036&amp;lvl=3&amp;lin=f&amp;keep=1&amp;srchmode=1&amp;unlock","10036")</f>
        <v>10036</v>
      </c>
      <c r="E28" t="s">
        <v>66</v>
      </c>
      <c r="F28" t="str">
        <f>HYPERLINK("http://www.ncbi.nlm.nih.gov/Taxonomy/Browser/wwwtax.cgi?mode=Info&amp;id=10036&amp;lvl=3&amp;lin=f&amp;keep=1&amp;srchmode=1&amp;unlock","Mesocricetus auratus")</f>
        <v>Mesocricetus auratus</v>
      </c>
      <c r="G28" t="s">
        <v>87</v>
      </c>
      <c r="H28" t="str">
        <f>HYPERLINK("http://www.ncbi.nlm.nih.gov/protein/XP_012981324.1","NF-kappa-B essential modulator isoform X1")</f>
        <v>NF-kappa-B essential modulator isoform X1</v>
      </c>
      <c r="I28" t="s">
        <v>265</v>
      </c>
      <c r="J28" t="s">
        <v>69</v>
      </c>
      <c r="K28">
        <v>226</v>
      </c>
      <c r="L28" t="s">
        <v>76</v>
      </c>
      <c r="M28" t="s">
        <v>69</v>
      </c>
      <c r="N28" t="s">
        <v>75</v>
      </c>
      <c r="O28" t="s">
        <v>69</v>
      </c>
      <c r="P28">
        <v>146.18899999999999</v>
      </c>
      <c r="Q28" t="s">
        <v>69</v>
      </c>
      <c r="R28" t="s">
        <v>69</v>
      </c>
      <c r="S28">
        <v>228</v>
      </c>
      <c r="T28" t="s">
        <v>73</v>
      </c>
      <c r="U28" t="s">
        <v>69</v>
      </c>
      <c r="V28" t="s">
        <v>71</v>
      </c>
      <c r="W28" t="s">
        <v>69</v>
      </c>
      <c r="X28">
        <v>89.093999999999994</v>
      </c>
      <c r="Y28" t="s">
        <v>69</v>
      </c>
      <c r="Z28" t="s">
        <v>69</v>
      </c>
      <c r="AA28">
        <v>229</v>
      </c>
      <c r="AB28" t="s">
        <v>147</v>
      </c>
      <c r="AC28" t="s">
        <v>69</v>
      </c>
      <c r="AD28" t="s">
        <v>148</v>
      </c>
      <c r="AE28" t="s">
        <v>69</v>
      </c>
      <c r="AF28">
        <v>146.14599999999999</v>
      </c>
      <c r="AG28" t="s">
        <v>69</v>
      </c>
      <c r="AH28" t="s">
        <v>69</v>
      </c>
      <c r="AI28">
        <v>230</v>
      </c>
      <c r="AJ28" t="s">
        <v>72</v>
      </c>
      <c r="AK28" t="s">
        <v>69</v>
      </c>
      <c r="AL28" t="s">
        <v>71</v>
      </c>
      <c r="AM28" t="s">
        <v>69</v>
      </c>
      <c r="AN28">
        <v>131.17500000000001</v>
      </c>
      <c r="AO28" t="s">
        <v>69</v>
      </c>
      <c r="AP28" t="s">
        <v>69</v>
      </c>
      <c r="AQ28">
        <v>231</v>
      </c>
      <c r="AR28" t="s">
        <v>147</v>
      </c>
      <c r="AS28" t="s">
        <v>69</v>
      </c>
      <c r="AT28" t="s">
        <v>148</v>
      </c>
      <c r="AU28" t="s">
        <v>69</v>
      </c>
      <c r="AV28">
        <v>146.14599999999999</v>
      </c>
      <c r="AW28" t="s">
        <v>69</v>
      </c>
      <c r="AX28" t="s">
        <v>69</v>
      </c>
      <c r="AY28">
        <v>232</v>
      </c>
      <c r="AZ28" t="s">
        <v>73</v>
      </c>
      <c r="BA28" t="s">
        <v>153</v>
      </c>
      <c r="BB28" t="s">
        <v>71</v>
      </c>
      <c r="BC28" t="s">
        <v>69</v>
      </c>
      <c r="BD28">
        <v>89.093999999999994</v>
      </c>
      <c r="BE28" t="s">
        <v>69</v>
      </c>
      <c r="BF28" t="s">
        <v>69</v>
      </c>
      <c r="BG28">
        <v>233</v>
      </c>
      <c r="BH28" t="s">
        <v>73</v>
      </c>
      <c r="BI28" t="s">
        <v>69</v>
      </c>
      <c r="BJ28" t="s">
        <v>71</v>
      </c>
      <c r="BK28" t="s">
        <v>69</v>
      </c>
      <c r="BL28">
        <v>89.093999999999994</v>
      </c>
      <c r="BM28" t="s">
        <v>69</v>
      </c>
      <c r="BN28" t="s">
        <v>69</v>
      </c>
      <c r="BO28">
        <v>234</v>
      </c>
      <c r="BP28" t="s">
        <v>69</v>
      </c>
      <c r="BQ28" t="s">
        <v>69</v>
      </c>
      <c r="BR28" t="s">
        <v>152</v>
      </c>
      <c r="BS28" t="s">
        <v>69</v>
      </c>
      <c r="BT28">
        <v>181.191</v>
      </c>
      <c r="BU28" t="s">
        <v>69</v>
      </c>
      <c r="BV28" t="s">
        <v>69</v>
      </c>
    </row>
    <row r="29" spans="1:74" x14ac:dyDescent="0.25">
      <c r="A29">
        <v>7</v>
      </c>
      <c r="B29" t="str">
        <f>HYPERLINK("http://www.ncbi.nlm.nih.gov/protein/XP_012905560.1","XP_012905560.1")</f>
        <v>XP_012905560.1</v>
      </c>
      <c r="C29">
        <v>58003</v>
      </c>
      <c r="D29" t="str">
        <f>HYPERLINK("http://www.ncbi.nlm.nih.gov/Taxonomy/Browser/wwwtax.cgi?mode=Info&amp;id=9669&amp;lvl=3&amp;lin=f&amp;keep=1&amp;srchmode=1&amp;unlock","9669")</f>
        <v>9669</v>
      </c>
      <c r="E29" t="s">
        <v>66</v>
      </c>
      <c r="F29" t="str">
        <f>HYPERLINK("http://www.ncbi.nlm.nih.gov/Taxonomy/Browser/wwwtax.cgi?mode=Info&amp;id=9669&amp;lvl=3&amp;lin=f&amp;keep=1&amp;srchmode=1&amp;unlock","Mustela putorius furo")</f>
        <v>Mustela putorius furo</v>
      </c>
      <c r="G29" t="s">
        <v>98</v>
      </c>
      <c r="H29" t="str">
        <f>HYPERLINK("http://www.ncbi.nlm.nih.gov/protein/XP_012905560.1","NF-kappa-B essential modulator")</f>
        <v>NF-kappa-B essential modulator</v>
      </c>
      <c r="I29" t="s">
        <v>265</v>
      </c>
      <c r="J29" t="s">
        <v>69</v>
      </c>
      <c r="K29">
        <v>226</v>
      </c>
      <c r="L29" t="s">
        <v>76</v>
      </c>
      <c r="M29" t="s">
        <v>69</v>
      </c>
      <c r="N29" t="s">
        <v>75</v>
      </c>
      <c r="O29" t="s">
        <v>69</v>
      </c>
      <c r="P29">
        <v>146.18899999999999</v>
      </c>
      <c r="Q29" t="s">
        <v>69</v>
      </c>
      <c r="R29" t="s">
        <v>69</v>
      </c>
      <c r="S29">
        <v>228</v>
      </c>
      <c r="T29" t="s">
        <v>73</v>
      </c>
      <c r="U29" t="s">
        <v>69</v>
      </c>
      <c r="V29" t="s">
        <v>71</v>
      </c>
      <c r="W29" t="s">
        <v>69</v>
      </c>
      <c r="X29">
        <v>89.093999999999994</v>
      </c>
      <c r="Y29" t="s">
        <v>69</v>
      </c>
      <c r="Z29" t="s">
        <v>69</v>
      </c>
      <c r="AA29">
        <v>229</v>
      </c>
      <c r="AB29" t="s">
        <v>147</v>
      </c>
      <c r="AC29" t="s">
        <v>69</v>
      </c>
      <c r="AD29" t="s">
        <v>148</v>
      </c>
      <c r="AE29" t="s">
        <v>69</v>
      </c>
      <c r="AF29">
        <v>146.14599999999999</v>
      </c>
      <c r="AG29" t="s">
        <v>69</v>
      </c>
      <c r="AH29" t="s">
        <v>69</v>
      </c>
      <c r="AI29">
        <v>230</v>
      </c>
      <c r="AJ29" t="s">
        <v>72</v>
      </c>
      <c r="AK29" t="s">
        <v>69</v>
      </c>
      <c r="AL29" t="s">
        <v>71</v>
      </c>
      <c r="AM29" t="s">
        <v>69</v>
      </c>
      <c r="AN29">
        <v>131.17500000000001</v>
      </c>
      <c r="AO29" t="s">
        <v>69</v>
      </c>
      <c r="AP29" t="s">
        <v>69</v>
      </c>
      <c r="AQ29">
        <v>231</v>
      </c>
      <c r="AR29" t="s">
        <v>147</v>
      </c>
      <c r="AS29" t="s">
        <v>69</v>
      </c>
      <c r="AT29" t="s">
        <v>148</v>
      </c>
      <c r="AU29" t="s">
        <v>69</v>
      </c>
      <c r="AV29">
        <v>146.14599999999999</v>
      </c>
      <c r="AW29" t="s">
        <v>69</v>
      </c>
      <c r="AX29" t="s">
        <v>69</v>
      </c>
      <c r="AY29">
        <v>232</v>
      </c>
      <c r="AZ29" t="s">
        <v>115</v>
      </c>
      <c r="BA29" t="s">
        <v>69</v>
      </c>
      <c r="BB29" t="s">
        <v>71</v>
      </c>
      <c r="BC29" t="s">
        <v>69</v>
      </c>
      <c r="BD29">
        <v>117.148</v>
      </c>
      <c r="BE29" t="s">
        <v>69</v>
      </c>
      <c r="BF29" t="s">
        <v>69</v>
      </c>
      <c r="BG29">
        <v>233</v>
      </c>
      <c r="BH29" t="s">
        <v>73</v>
      </c>
      <c r="BI29" t="s">
        <v>69</v>
      </c>
      <c r="BJ29" t="s">
        <v>71</v>
      </c>
      <c r="BK29" t="s">
        <v>69</v>
      </c>
      <c r="BL29">
        <v>89.093999999999994</v>
      </c>
      <c r="BM29" t="s">
        <v>69</v>
      </c>
      <c r="BN29" t="s">
        <v>69</v>
      </c>
      <c r="BO29">
        <v>234</v>
      </c>
      <c r="BP29" t="s">
        <v>69</v>
      </c>
      <c r="BQ29" t="s">
        <v>69</v>
      </c>
      <c r="BR29" t="s">
        <v>152</v>
      </c>
      <c r="BS29" t="s">
        <v>69</v>
      </c>
      <c r="BT29">
        <v>181.191</v>
      </c>
      <c r="BU29" t="s">
        <v>69</v>
      </c>
      <c r="BV29" t="s">
        <v>69</v>
      </c>
    </row>
    <row r="30" spans="1:74" x14ac:dyDescent="0.25">
      <c r="A30">
        <v>7</v>
      </c>
      <c r="B30" t="str">
        <f>HYPERLINK("http://www.ncbi.nlm.nih.gov/protein/XP_044091753.1","XP_044091753.1")</f>
        <v>XP_044091753.1</v>
      </c>
      <c r="C30">
        <v>44640</v>
      </c>
      <c r="D30" t="str">
        <f>HYPERLINK("http://www.ncbi.nlm.nih.gov/Taxonomy/Browser/wwwtax.cgi?mode=Info&amp;id=452646&amp;lvl=3&amp;lin=f&amp;keep=1&amp;srchmode=1&amp;unlock","452646")</f>
        <v>452646</v>
      </c>
      <c r="E30" t="s">
        <v>66</v>
      </c>
      <c r="F30" t="str">
        <f>HYPERLINK("http://www.ncbi.nlm.nih.gov/Taxonomy/Browser/wwwtax.cgi?mode=Info&amp;id=452646&amp;lvl=3&amp;lin=f&amp;keep=1&amp;srchmode=1&amp;unlock","Neogale vison")</f>
        <v>Neogale vison</v>
      </c>
      <c r="G30" t="s">
        <v>96</v>
      </c>
      <c r="H30" t="str">
        <f>HYPERLINK("http://www.ncbi.nlm.nih.gov/protein/XP_044091753.1","NF-kappa-B essential modulator isoform X1")</f>
        <v>NF-kappa-B essential modulator isoform X1</v>
      </c>
      <c r="I30" t="s">
        <v>265</v>
      </c>
      <c r="J30" t="s">
        <v>69</v>
      </c>
      <c r="K30">
        <v>226</v>
      </c>
      <c r="L30" t="s">
        <v>76</v>
      </c>
      <c r="M30" t="s">
        <v>69</v>
      </c>
      <c r="N30" t="s">
        <v>75</v>
      </c>
      <c r="O30" t="s">
        <v>69</v>
      </c>
      <c r="P30">
        <v>146.18899999999999</v>
      </c>
      <c r="Q30" t="s">
        <v>69</v>
      </c>
      <c r="R30" t="s">
        <v>69</v>
      </c>
      <c r="S30">
        <v>228</v>
      </c>
      <c r="T30" t="s">
        <v>73</v>
      </c>
      <c r="U30" t="s">
        <v>69</v>
      </c>
      <c r="V30" t="s">
        <v>71</v>
      </c>
      <c r="W30" t="s">
        <v>69</v>
      </c>
      <c r="X30">
        <v>89.093999999999994</v>
      </c>
      <c r="Y30" t="s">
        <v>69</v>
      </c>
      <c r="Z30" t="s">
        <v>69</v>
      </c>
      <c r="AA30">
        <v>229</v>
      </c>
      <c r="AB30" t="s">
        <v>147</v>
      </c>
      <c r="AC30" t="s">
        <v>69</v>
      </c>
      <c r="AD30" t="s">
        <v>148</v>
      </c>
      <c r="AE30" t="s">
        <v>69</v>
      </c>
      <c r="AF30">
        <v>146.14599999999999</v>
      </c>
      <c r="AG30" t="s">
        <v>69</v>
      </c>
      <c r="AH30" t="s">
        <v>69</v>
      </c>
      <c r="AI30">
        <v>230</v>
      </c>
      <c r="AJ30" t="s">
        <v>72</v>
      </c>
      <c r="AK30" t="s">
        <v>69</v>
      </c>
      <c r="AL30" t="s">
        <v>71</v>
      </c>
      <c r="AM30" t="s">
        <v>69</v>
      </c>
      <c r="AN30">
        <v>131.17500000000001</v>
      </c>
      <c r="AO30" t="s">
        <v>69</v>
      </c>
      <c r="AP30" t="s">
        <v>69</v>
      </c>
      <c r="AQ30">
        <v>231</v>
      </c>
      <c r="AR30" t="s">
        <v>147</v>
      </c>
      <c r="AS30" t="s">
        <v>69</v>
      </c>
      <c r="AT30" t="s">
        <v>148</v>
      </c>
      <c r="AU30" t="s">
        <v>69</v>
      </c>
      <c r="AV30">
        <v>146.14599999999999</v>
      </c>
      <c r="AW30" t="s">
        <v>69</v>
      </c>
      <c r="AX30" t="s">
        <v>69</v>
      </c>
      <c r="AY30">
        <v>232</v>
      </c>
      <c r="AZ30" t="s">
        <v>115</v>
      </c>
      <c r="BA30" t="s">
        <v>69</v>
      </c>
      <c r="BB30" t="s">
        <v>71</v>
      </c>
      <c r="BC30" t="s">
        <v>69</v>
      </c>
      <c r="BD30">
        <v>117.148</v>
      </c>
      <c r="BE30" t="s">
        <v>69</v>
      </c>
      <c r="BF30" t="s">
        <v>69</v>
      </c>
      <c r="BG30">
        <v>233</v>
      </c>
      <c r="BH30" t="s">
        <v>73</v>
      </c>
      <c r="BI30" t="s">
        <v>69</v>
      </c>
      <c r="BJ30" t="s">
        <v>71</v>
      </c>
      <c r="BK30" t="s">
        <v>69</v>
      </c>
      <c r="BL30">
        <v>89.093999999999994</v>
      </c>
      <c r="BM30" t="s">
        <v>69</v>
      </c>
      <c r="BN30" t="s">
        <v>69</v>
      </c>
      <c r="BO30">
        <v>234</v>
      </c>
      <c r="BP30" t="s">
        <v>69</v>
      </c>
      <c r="BQ30" t="s">
        <v>69</v>
      </c>
      <c r="BR30" t="s">
        <v>152</v>
      </c>
      <c r="BS30" t="s">
        <v>69</v>
      </c>
      <c r="BT30">
        <v>181.191</v>
      </c>
      <c r="BU30" t="s">
        <v>69</v>
      </c>
      <c r="BV30" t="s">
        <v>69</v>
      </c>
    </row>
    <row r="31" spans="1:74" x14ac:dyDescent="0.25">
      <c r="A31">
        <v>7</v>
      </c>
      <c r="B31" t="str">
        <f>HYPERLINK("http://www.ncbi.nlm.nih.gov/protein/XP_045850813.1","XP_045850813.1")</f>
        <v>XP_045850813.1</v>
      </c>
      <c r="C31">
        <v>50752</v>
      </c>
      <c r="D31" t="str">
        <f>HYPERLINK("http://www.ncbi.nlm.nih.gov/Taxonomy/Browser/wwwtax.cgi?mode=Info&amp;id=9662&amp;lvl=3&amp;lin=f&amp;keep=1&amp;srchmode=1&amp;unlock","9662")</f>
        <v>9662</v>
      </c>
      <c r="E31" t="s">
        <v>66</v>
      </c>
      <c r="F31" t="str">
        <f>HYPERLINK("http://www.ncbi.nlm.nih.gov/Taxonomy/Browser/wwwtax.cgi?mode=Info&amp;id=9662&amp;lvl=3&amp;lin=f&amp;keep=1&amp;srchmode=1&amp;unlock","Meles meles")</f>
        <v>Meles meles</v>
      </c>
      <c r="G31" t="s">
        <v>99</v>
      </c>
      <c r="H31" t="str">
        <f>HYPERLINK("http://www.ncbi.nlm.nih.gov/protein/XP_045850813.1","NF-kappa-B essential modulator isoform X1")</f>
        <v>NF-kappa-B essential modulator isoform X1</v>
      </c>
      <c r="I31" t="s">
        <v>265</v>
      </c>
      <c r="J31" t="s">
        <v>69</v>
      </c>
      <c r="K31">
        <v>226</v>
      </c>
      <c r="L31" t="s">
        <v>76</v>
      </c>
      <c r="M31" t="s">
        <v>69</v>
      </c>
      <c r="N31" t="s">
        <v>75</v>
      </c>
      <c r="O31" t="s">
        <v>69</v>
      </c>
      <c r="P31">
        <v>146.18899999999999</v>
      </c>
      <c r="Q31" t="s">
        <v>69</v>
      </c>
      <c r="R31" t="s">
        <v>69</v>
      </c>
      <c r="S31">
        <v>228</v>
      </c>
      <c r="T31" t="s">
        <v>73</v>
      </c>
      <c r="U31" t="s">
        <v>69</v>
      </c>
      <c r="V31" t="s">
        <v>71</v>
      </c>
      <c r="W31" t="s">
        <v>69</v>
      </c>
      <c r="X31">
        <v>89.093999999999994</v>
      </c>
      <c r="Y31" t="s">
        <v>69</v>
      </c>
      <c r="Z31" t="s">
        <v>69</v>
      </c>
      <c r="AA31">
        <v>229</v>
      </c>
      <c r="AB31" t="s">
        <v>147</v>
      </c>
      <c r="AC31" t="s">
        <v>69</v>
      </c>
      <c r="AD31" t="s">
        <v>148</v>
      </c>
      <c r="AE31" t="s">
        <v>69</v>
      </c>
      <c r="AF31">
        <v>146.14599999999999</v>
      </c>
      <c r="AG31" t="s">
        <v>69</v>
      </c>
      <c r="AH31" t="s">
        <v>69</v>
      </c>
      <c r="AI31">
        <v>230</v>
      </c>
      <c r="AJ31" t="s">
        <v>72</v>
      </c>
      <c r="AK31" t="s">
        <v>69</v>
      </c>
      <c r="AL31" t="s">
        <v>71</v>
      </c>
      <c r="AM31" t="s">
        <v>69</v>
      </c>
      <c r="AN31">
        <v>131.17500000000001</v>
      </c>
      <c r="AO31" t="s">
        <v>69</v>
      </c>
      <c r="AP31" t="s">
        <v>69</v>
      </c>
      <c r="AQ31">
        <v>231</v>
      </c>
      <c r="AR31" t="s">
        <v>147</v>
      </c>
      <c r="AS31" t="s">
        <v>69</v>
      </c>
      <c r="AT31" t="s">
        <v>148</v>
      </c>
      <c r="AU31" t="s">
        <v>69</v>
      </c>
      <c r="AV31">
        <v>146.14599999999999</v>
      </c>
      <c r="AW31" t="s">
        <v>69</v>
      </c>
      <c r="AX31" t="s">
        <v>69</v>
      </c>
      <c r="AY31">
        <v>232</v>
      </c>
      <c r="AZ31" t="s">
        <v>115</v>
      </c>
      <c r="BA31" t="s">
        <v>69</v>
      </c>
      <c r="BB31" t="s">
        <v>71</v>
      </c>
      <c r="BC31" t="s">
        <v>69</v>
      </c>
      <c r="BD31">
        <v>117.148</v>
      </c>
      <c r="BE31" t="s">
        <v>69</v>
      </c>
      <c r="BF31" t="s">
        <v>69</v>
      </c>
      <c r="BG31">
        <v>233</v>
      </c>
      <c r="BH31" t="s">
        <v>73</v>
      </c>
      <c r="BI31" t="s">
        <v>69</v>
      </c>
      <c r="BJ31" t="s">
        <v>71</v>
      </c>
      <c r="BK31" t="s">
        <v>69</v>
      </c>
      <c r="BL31">
        <v>89.093999999999994</v>
      </c>
      <c r="BM31" t="s">
        <v>69</v>
      </c>
      <c r="BN31" t="s">
        <v>69</v>
      </c>
      <c r="BO31">
        <v>234</v>
      </c>
      <c r="BP31" t="s">
        <v>69</v>
      </c>
      <c r="BQ31" t="s">
        <v>69</v>
      </c>
      <c r="BR31" t="s">
        <v>152</v>
      </c>
      <c r="BS31" t="s">
        <v>69</v>
      </c>
      <c r="BT31">
        <v>181.191</v>
      </c>
      <c r="BU31" t="s">
        <v>69</v>
      </c>
      <c r="BV31" t="s">
        <v>69</v>
      </c>
    </row>
    <row r="32" spans="1:74" x14ac:dyDescent="0.25">
      <c r="A32">
        <v>7</v>
      </c>
      <c r="B32" t="str">
        <f>HYPERLINK("http://www.ncbi.nlm.nih.gov/protein/XP_006029398.2","XP_006029398.2")</f>
        <v>XP_006029398.2</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HYPERLINK("http://www.ncbi.nlm.nih.gov/protein/XP_006029398.2","NF-kappa-B essential modulator")</f>
        <v>NF-kappa-B essential modulator</v>
      </c>
      <c r="I32" t="s">
        <v>265</v>
      </c>
      <c r="J32" t="s">
        <v>69</v>
      </c>
      <c r="K32">
        <v>335</v>
      </c>
      <c r="L32" t="s">
        <v>76</v>
      </c>
      <c r="M32" t="s">
        <v>69</v>
      </c>
      <c r="N32" t="s">
        <v>75</v>
      </c>
      <c r="O32" t="s">
        <v>69</v>
      </c>
      <c r="P32">
        <v>146.18899999999999</v>
      </c>
      <c r="Q32" t="s">
        <v>69</v>
      </c>
      <c r="R32" t="s">
        <v>69</v>
      </c>
      <c r="S32">
        <v>337</v>
      </c>
      <c r="T32" t="s">
        <v>73</v>
      </c>
      <c r="U32" t="s">
        <v>69</v>
      </c>
      <c r="V32" t="s">
        <v>71</v>
      </c>
      <c r="W32" t="s">
        <v>69</v>
      </c>
      <c r="X32">
        <v>89.093999999999994</v>
      </c>
      <c r="Y32" t="s">
        <v>69</v>
      </c>
      <c r="Z32" t="s">
        <v>69</v>
      </c>
      <c r="AA32">
        <v>338</v>
      </c>
      <c r="AB32" t="s">
        <v>147</v>
      </c>
      <c r="AC32" t="s">
        <v>69</v>
      </c>
      <c r="AD32" t="s">
        <v>148</v>
      </c>
      <c r="AE32" t="s">
        <v>69</v>
      </c>
      <c r="AF32">
        <v>146.14599999999999</v>
      </c>
      <c r="AG32" t="s">
        <v>69</v>
      </c>
      <c r="AH32" t="s">
        <v>69</v>
      </c>
      <c r="AI32">
        <v>339</v>
      </c>
      <c r="AJ32" t="s">
        <v>72</v>
      </c>
      <c r="AK32" t="s">
        <v>69</v>
      </c>
      <c r="AL32" t="s">
        <v>71</v>
      </c>
      <c r="AM32" t="s">
        <v>69</v>
      </c>
      <c r="AN32">
        <v>131.17500000000001</v>
      </c>
      <c r="AO32" t="s">
        <v>69</v>
      </c>
      <c r="AP32" t="s">
        <v>69</v>
      </c>
      <c r="AQ32">
        <v>340</v>
      </c>
      <c r="AR32" t="s">
        <v>147</v>
      </c>
      <c r="AS32" t="s">
        <v>69</v>
      </c>
      <c r="AT32" t="s">
        <v>148</v>
      </c>
      <c r="AU32" t="s">
        <v>69</v>
      </c>
      <c r="AV32">
        <v>146.14599999999999</v>
      </c>
      <c r="AW32" t="s">
        <v>69</v>
      </c>
      <c r="AX32" t="s">
        <v>69</v>
      </c>
      <c r="AY32">
        <v>341</v>
      </c>
      <c r="AZ32" t="s">
        <v>115</v>
      </c>
      <c r="BA32" t="s">
        <v>69</v>
      </c>
      <c r="BB32" t="s">
        <v>71</v>
      </c>
      <c r="BC32" t="s">
        <v>69</v>
      </c>
      <c r="BD32">
        <v>117.148</v>
      </c>
      <c r="BE32" t="s">
        <v>69</v>
      </c>
      <c r="BF32" t="s">
        <v>69</v>
      </c>
      <c r="BG32">
        <v>342</v>
      </c>
      <c r="BH32" t="s">
        <v>73</v>
      </c>
      <c r="BI32" t="s">
        <v>69</v>
      </c>
      <c r="BJ32" t="s">
        <v>71</v>
      </c>
      <c r="BK32" t="s">
        <v>69</v>
      </c>
      <c r="BL32">
        <v>89.093999999999994</v>
      </c>
      <c r="BM32" t="s">
        <v>69</v>
      </c>
      <c r="BN32" t="s">
        <v>69</v>
      </c>
      <c r="BO32">
        <v>343</v>
      </c>
      <c r="BP32" t="s">
        <v>69</v>
      </c>
      <c r="BQ32" t="s">
        <v>69</v>
      </c>
      <c r="BR32" t="s">
        <v>152</v>
      </c>
      <c r="BS32" t="s">
        <v>69</v>
      </c>
      <c r="BT32">
        <v>181.191</v>
      </c>
      <c r="BU32" t="s">
        <v>69</v>
      </c>
      <c r="BV32" t="s">
        <v>69</v>
      </c>
    </row>
    <row r="33" spans="1:74" x14ac:dyDescent="0.25">
      <c r="A33">
        <v>7</v>
      </c>
      <c r="B33" t="str">
        <f>HYPERLINK("http://www.ncbi.nlm.nih.gov/protein/XP_041428109.1","XP_041428109.1")</f>
        <v>XP_041428109.1</v>
      </c>
      <c r="C33">
        <v>146185</v>
      </c>
      <c r="D33" t="str">
        <f>HYPERLINK("http://www.ncbi.nlm.nih.gov/Taxonomy/Browser/wwwtax.cgi?mode=Info&amp;id=8355&amp;lvl=3&amp;lin=f&amp;keep=1&amp;srchmode=1&amp;unlock","8355")</f>
        <v>8355</v>
      </c>
      <c r="E33" t="s">
        <v>111</v>
      </c>
      <c r="F33" t="str">
        <f>HYPERLINK("http://www.ncbi.nlm.nih.gov/Taxonomy/Browser/wwwtax.cgi?mode=Info&amp;id=8355&amp;lvl=3&amp;lin=f&amp;keep=1&amp;srchmode=1&amp;unlock","Xenopus laevis")</f>
        <v>Xenopus laevis</v>
      </c>
      <c r="G33" t="s">
        <v>112</v>
      </c>
      <c r="H33" t="str">
        <f>HYPERLINK("http://www.ncbi.nlm.nih.gov/protein/XP_041428109.1","inhibitor of nuclear factor kappa B kinase subunit gamma L homeolog isoform X3")</f>
        <v>inhibitor of nuclear factor kappa B kinase subunit gamma L homeolog isoform X3</v>
      </c>
      <c r="I33" t="s">
        <v>265</v>
      </c>
      <c r="J33" t="s">
        <v>69</v>
      </c>
      <c r="K33">
        <v>322</v>
      </c>
      <c r="L33" t="s">
        <v>76</v>
      </c>
      <c r="M33" t="s">
        <v>69</v>
      </c>
      <c r="N33" t="s">
        <v>75</v>
      </c>
      <c r="O33" t="s">
        <v>69</v>
      </c>
      <c r="P33">
        <v>146.18899999999999</v>
      </c>
      <c r="Q33" t="s">
        <v>69</v>
      </c>
      <c r="R33" t="s">
        <v>69</v>
      </c>
      <c r="S33">
        <v>324</v>
      </c>
      <c r="T33" t="s">
        <v>73</v>
      </c>
      <c r="U33" t="s">
        <v>69</v>
      </c>
      <c r="V33" t="s">
        <v>71</v>
      </c>
      <c r="W33" t="s">
        <v>69</v>
      </c>
      <c r="X33">
        <v>89.093999999999994</v>
      </c>
      <c r="Y33" t="s">
        <v>69</v>
      </c>
      <c r="Z33" t="s">
        <v>69</v>
      </c>
      <c r="AA33">
        <v>325</v>
      </c>
      <c r="AB33" t="s">
        <v>147</v>
      </c>
      <c r="AC33" t="s">
        <v>69</v>
      </c>
      <c r="AD33" t="s">
        <v>148</v>
      </c>
      <c r="AE33" t="s">
        <v>69</v>
      </c>
      <c r="AF33">
        <v>146.14599999999999</v>
      </c>
      <c r="AG33" t="s">
        <v>69</v>
      </c>
      <c r="AH33" t="s">
        <v>69</v>
      </c>
      <c r="AI33">
        <v>326</v>
      </c>
      <c r="AJ33" t="s">
        <v>72</v>
      </c>
      <c r="AK33" t="s">
        <v>69</v>
      </c>
      <c r="AL33" t="s">
        <v>71</v>
      </c>
      <c r="AM33" t="s">
        <v>69</v>
      </c>
      <c r="AN33">
        <v>131.17500000000001</v>
      </c>
      <c r="AO33" t="s">
        <v>69</v>
      </c>
      <c r="AP33" t="s">
        <v>69</v>
      </c>
      <c r="AQ33">
        <v>327</v>
      </c>
      <c r="AR33" t="s">
        <v>147</v>
      </c>
      <c r="AS33" t="s">
        <v>69</v>
      </c>
      <c r="AT33" t="s">
        <v>148</v>
      </c>
      <c r="AU33" t="s">
        <v>69</v>
      </c>
      <c r="AV33">
        <v>146.14599999999999</v>
      </c>
      <c r="AW33" t="s">
        <v>69</v>
      </c>
      <c r="AX33" t="s">
        <v>69</v>
      </c>
      <c r="AY33">
        <v>328</v>
      </c>
      <c r="AZ33" t="s">
        <v>115</v>
      </c>
      <c r="BA33" t="s">
        <v>69</v>
      </c>
      <c r="BB33" t="s">
        <v>71</v>
      </c>
      <c r="BC33" t="s">
        <v>69</v>
      </c>
      <c r="BD33">
        <v>117.148</v>
      </c>
      <c r="BE33" t="s">
        <v>69</v>
      </c>
      <c r="BF33" t="s">
        <v>69</v>
      </c>
      <c r="BG33">
        <v>329</v>
      </c>
      <c r="BH33" t="s">
        <v>73</v>
      </c>
      <c r="BI33" t="s">
        <v>69</v>
      </c>
      <c r="BJ33" t="s">
        <v>71</v>
      </c>
      <c r="BK33" t="s">
        <v>69</v>
      </c>
      <c r="BL33">
        <v>89.093999999999994</v>
      </c>
      <c r="BM33" t="s">
        <v>69</v>
      </c>
      <c r="BN33" t="s">
        <v>69</v>
      </c>
      <c r="BO33">
        <v>330</v>
      </c>
      <c r="BP33" t="s">
        <v>69</v>
      </c>
      <c r="BQ33" t="s">
        <v>69</v>
      </c>
      <c r="BR33" t="s">
        <v>152</v>
      </c>
      <c r="BS33" t="s">
        <v>69</v>
      </c>
      <c r="BT33">
        <v>181.191</v>
      </c>
      <c r="BU33" t="s">
        <v>69</v>
      </c>
      <c r="BV33" t="s">
        <v>69</v>
      </c>
    </row>
    <row r="34" spans="1:74" x14ac:dyDescent="0.25">
      <c r="A34">
        <v>7</v>
      </c>
      <c r="B34" t="str">
        <f>HYPERLINK("http://www.ncbi.nlm.nih.gov/protein/XP_039508468.1","XP_039508468.1")</f>
        <v>XP_039508468.1</v>
      </c>
      <c r="C34">
        <v>96114</v>
      </c>
      <c r="D34" t="str">
        <f>HYPERLINK("http://www.ncbi.nlm.nih.gov/Taxonomy/Browser/wwwtax.cgi?mode=Info&amp;id=90988&amp;lvl=3&amp;lin=f&amp;keep=1&amp;srchmode=1&amp;unlock","90988")</f>
        <v>90988</v>
      </c>
      <c r="E34" t="s">
        <v>113</v>
      </c>
      <c r="F34" t="str">
        <f>HYPERLINK("http://www.ncbi.nlm.nih.gov/Taxonomy/Browser/wwwtax.cgi?mode=Info&amp;id=90988&amp;lvl=3&amp;lin=f&amp;keep=1&amp;srchmode=1&amp;unlock","Pimephales promelas")</f>
        <v>Pimephales promelas</v>
      </c>
      <c r="G34" t="s">
        <v>114</v>
      </c>
      <c r="H34" t="str">
        <f>HYPERLINK("http://www.ncbi.nlm.nih.gov/protein/XP_039508468.1","NF-kappa-B essential modulator isoform X2")</f>
        <v>NF-kappa-B essential modulator isoform X2</v>
      </c>
      <c r="I34" t="s">
        <v>265</v>
      </c>
      <c r="J34" t="s">
        <v>153</v>
      </c>
      <c r="K34">
        <v>382</v>
      </c>
      <c r="L34" t="s">
        <v>76</v>
      </c>
      <c r="M34" t="s">
        <v>69</v>
      </c>
      <c r="N34" t="s">
        <v>75</v>
      </c>
      <c r="O34" t="s">
        <v>69</v>
      </c>
      <c r="P34">
        <v>146.18899999999999</v>
      </c>
      <c r="Q34" t="s">
        <v>69</v>
      </c>
      <c r="R34" t="s">
        <v>69</v>
      </c>
      <c r="S34">
        <v>384</v>
      </c>
      <c r="T34" t="s">
        <v>73</v>
      </c>
      <c r="U34" t="s">
        <v>69</v>
      </c>
      <c r="V34" t="s">
        <v>71</v>
      </c>
      <c r="W34" t="s">
        <v>69</v>
      </c>
      <c r="X34">
        <v>89.093999999999994</v>
      </c>
      <c r="Y34" t="s">
        <v>69</v>
      </c>
      <c r="Z34" t="s">
        <v>69</v>
      </c>
      <c r="AA34">
        <v>385</v>
      </c>
      <c r="AB34" t="s">
        <v>147</v>
      </c>
      <c r="AC34" t="s">
        <v>69</v>
      </c>
      <c r="AD34" t="s">
        <v>148</v>
      </c>
      <c r="AE34" t="s">
        <v>69</v>
      </c>
      <c r="AF34">
        <v>146.14599999999999</v>
      </c>
      <c r="AG34" t="s">
        <v>69</v>
      </c>
      <c r="AH34" t="s">
        <v>69</v>
      </c>
      <c r="AI34">
        <v>386</v>
      </c>
      <c r="AJ34" t="s">
        <v>72</v>
      </c>
      <c r="AK34" t="s">
        <v>69</v>
      </c>
      <c r="AL34" t="s">
        <v>71</v>
      </c>
      <c r="AM34" t="s">
        <v>69</v>
      </c>
      <c r="AN34">
        <v>131.17500000000001</v>
      </c>
      <c r="AO34" t="s">
        <v>69</v>
      </c>
      <c r="AP34" t="s">
        <v>69</v>
      </c>
      <c r="AQ34">
        <v>387</v>
      </c>
      <c r="AR34" t="s">
        <v>147</v>
      </c>
      <c r="AS34" t="s">
        <v>69</v>
      </c>
      <c r="AT34" t="s">
        <v>148</v>
      </c>
      <c r="AU34" t="s">
        <v>69</v>
      </c>
      <c r="AV34">
        <v>146.14599999999999</v>
      </c>
      <c r="AW34" t="s">
        <v>69</v>
      </c>
      <c r="AX34" t="s">
        <v>69</v>
      </c>
      <c r="AY34">
        <v>388</v>
      </c>
      <c r="AZ34" t="s">
        <v>157</v>
      </c>
      <c r="BA34" t="s">
        <v>153</v>
      </c>
      <c r="BB34" t="s">
        <v>75</v>
      </c>
      <c r="BC34" t="s">
        <v>153</v>
      </c>
      <c r="BD34">
        <v>155.15600000000001</v>
      </c>
      <c r="BE34" t="s">
        <v>153</v>
      </c>
      <c r="BF34" t="s">
        <v>153</v>
      </c>
      <c r="BG34">
        <v>389</v>
      </c>
      <c r="BH34" t="s">
        <v>73</v>
      </c>
      <c r="BI34" t="s">
        <v>69</v>
      </c>
      <c r="BJ34" t="s">
        <v>71</v>
      </c>
      <c r="BK34" t="s">
        <v>69</v>
      </c>
      <c r="BL34">
        <v>89.093999999999994</v>
      </c>
      <c r="BM34" t="s">
        <v>69</v>
      </c>
      <c r="BN34" t="s">
        <v>69</v>
      </c>
      <c r="BO34">
        <v>390</v>
      </c>
      <c r="BP34" t="s">
        <v>69</v>
      </c>
      <c r="BQ34" t="s">
        <v>69</v>
      </c>
      <c r="BR34" t="s">
        <v>152</v>
      </c>
      <c r="BS34" t="s">
        <v>69</v>
      </c>
      <c r="BT34">
        <v>181.191</v>
      </c>
      <c r="BU34" t="s">
        <v>69</v>
      </c>
      <c r="BV34" t="s">
        <v>69</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workbookViewId="0"/>
  </sheetViews>
  <sheetFormatPr defaultRowHeight="15" x14ac:dyDescent="0.25"/>
  <sheetData>
    <row r="1" spans="1:26"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row>
    <row r="2" spans="1:26" x14ac:dyDescent="0.25">
      <c r="A2">
        <v>7</v>
      </c>
      <c r="B2" t="str">
        <f>HYPERLINK("http://www.ncbi.nlm.nih.gov/protein/NP_003630.1","NP_003630.1")</f>
        <v>NP_003630.1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HYPERLINK("http://www.ncbi.nlm.nih.gov/protein/NP_003630.1","NF-kappa-B essential modulator isoform a")</f>
        <v>NF-kappa-B essential modulator isoform a</v>
      </c>
      <c r="I2" t="s">
        <v>265</v>
      </c>
      <c r="J2" t="s">
        <v>69</v>
      </c>
      <c r="K2">
        <v>227</v>
      </c>
      <c r="L2" t="s">
        <v>72</v>
      </c>
      <c r="M2" t="s">
        <v>69</v>
      </c>
      <c r="N2" t="s">
        <v>71</v>
      </c>
      <c r="O2" t="s">
        <v>69</v>
      </c>
      <c r="P2">
        <v>131.17500000000001</v>
      </c>
      <c r="Q2" t="s">
        <v>69</v>
      </c>
      <c r="R2" t="s">
        <v>69</v>
      </c>
      <c r="S2">
        <v>235</v>
      </c>
      <c r="T2" t="s">
        <v>157</v>
      </c>
      <c r="U2" t="s">
        <v>69</v>
      </c>
      <c r="V2" t="s">
        <v>75</v>
      </c>
      <c r="W2" t="s">
        <v>69</v>
      </c>
      <c r="X2">
        <v>155.15600000000001</v>
      </c>
      <c r="Y2" t="s">
        <v>69</v>
      </c>
      <c r="Z2" t="s">
        <v>69</v>
      </c>
    </row>
    <row r="3" spans="1:26" x14ac:dyDescent="0.25">
      <c r="A3">
        <v>7</v>
      </c>
      <c r="B3" t="str">
        <f>HYPERLINK("http://www.ncbi.nlm.nih.gov/protein/XP_004065190.1","XP_004065190.1")</f>
        <v>XP_004065190.1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HYPERLINK("http://www.ncbi.nlm.nih.gov/protein/XP_004065190.1","NF-kappa-B essential modulator isoform X1")</f>
        <v>NF-kappa-B essential modulator isoform X1</v>
      </c>
      <c r="I3" t="s">
        <v>265</v>
      </c>
      <c r="J3" t="s">
        <v>69</v>
      </c>
      <c r="K3">
        <v>227</v>
      </c>
      <c r="L3" t="s">
        <v>72</v>
      </c>
      <c r="M3" t="s">
        <v>69</v>
      </c>
      <c r="N3" t="s">
        <v>71</v>
      </c>
      <c r="O3" t="s">
        <v>69</v>
      </c>
      <c r="P3">
        <v>131.17500000000001</v>
      </c>
      <c r="Q3" t="s">
        <v>69</v>
      </c>
      <c r="R3" t="s">
        <v>69</v>
      </c>
      <c r="S3">
        <v>235</v>
      </c>
      <c r="T3" t="s">
        <v>157</v>
      </c>
      <c r="U3" t="s">
        <v>69</v>
      </c>
      <c r="V3" t="s">
        <v>75</v>
      </c>
      <c r="W3" t="s">
        <v>69</v>
      </c>
      <c r="X3">
        <v>155.15600000000001</v>
      </c>
      <c r="Y3" t="s">
        <v>69</v>
      </c>
      <c r="Z3" t="s">
        <v>69</v>
      </c>
    </row>
    <row r="4" spans="1:26" x14ac:dyDescent="0.25">
      <c r="A4">
        <v>7</v>
      </c>
      <c r="B4" t="str">
        <f>HYPERLINK("http://www.ncbi.nlm.nih.gov/protein/NP_001162519.1","NP_001162519.1")</f>
        <v>NP_001162519.1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HYPERLINK("http://www.ncbi.nlm.nih.gov/protein/NP_001162519.1","inhibitor of kappa light polypeptide gene enhancer in B-cells, kinase gamma")</f>
        <v>inhibitor of kappa light polypeptide gene enhancer in B-cells, kinase gamma</v>
      </c>
      <c r="I4" t="s">
        <v>265</v>
      </c>
      <c r="J4" t="s">
        <v>69</v>
      </c>
      <c r="K4">
        <v>227</v>
      </c>
      <c r="L4" t="s">
        <v>72</v>
      </c>
      <c r="M4" t="s">
        <v>69</v>
      </c>
      <c r="N4" t="s">
        <v>71</v>
      </c>
      <c r="O4" t="s">
        <v>69</v>
      </c>
      <c r="P4">
        <v>131.17500000000001</v>
      </c>
      <c r="Q4" t="s">
        <v>69</v>
      </c>
      <c r="R4" t="s">
        <v>69</v>
      </c>
      <c r="S4">
        <v>235</v>
      </c>
      <c r="T4" t="s">
        <v>157</v>
      </c>
      <c r="U4" t="s">
        <v>69</v>
      </c>
      <c r="V4" t="s">
        <v>75</v>
      </c>
      <c r="W4" t="s">
        <v>69</v>
      </c>
      <c r="X4">
        <v>155.15600000000001</v>
      </c>
      <c r="Y4" t="s">
        <v>69</v>
      </c>
      <c r="Z4" t="s">
        <v>69</v>
      </c>
    </row>
    <row r="5" spans="1:26" x14ac:dyDescent="0.25">
      <c r="A5">
        <v>7</v>
      </c>
      <c r="B5" t="str">
        <f>HYPERLINK("http://www.ncbi.nlm.nih.gov/protein/XP_001095498.2","XP_001095498.2")</f>
        <v>XP_001095498.2</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HYPERLINK("http://www.ncbi.nlm.nih.gov/protein/XP_001095498.2","NF-kappa-B essential modulator isoform X1")</f>
        <v>NF-kappa-B essential modulator isoform X1</v>
      </c>
      <c r="I5" t="s">
        <v>265</v>
      </c>
      <c r="J5" t="s">
        <v>69</v>
      </c>
      <c r="K5">
        <v>227</v>
      </c>
      <c r="L5" t="s">
        <v>72</v>
      </c>
      <c r="M5" t="s">
        <v>69</v>
      </c>
      <c r="N5" t="s">
        <v>71</v>
      </c>
      <c r="O5" t="s">
        <v>69</v>
      </c>
      <c r="P5">
        <v>131.17500000000001</v>
      </c>
      <c r="Q5" t="s">
        <v>69</v>
      </c>
      <c r="R5" t="s">
        <v>69</v>
      </c>
      <c r="S5">
        <v>235</v>
      </c>
      <c r="T5" t="s">
        <v>157</v>
      </c>
      <c r="U5" t="s">
        <v>69</v>
      </c>
      <c r="V5" t="s">
        <v>75</v>
      </c>
      <c r="W5" t="s">
        <v>69</v>
      </c>
      <c r="X5">
        <v>155.15600000000001</v>
      </c>
      <c r="Y5" t="s">
        <v>69</v>
      </c>
      <c r="Z5" t="s">
        <v>69</v>
      </c>
    </row>
    <row r="6" spans="1:26" x14ac:dyDescent="0.25">
      <c r="A6">
        <v>7</v>
      </c>
      <c r="B6" t="str">
        <f>HYPERLINK("http://www.ncbi.nlm.nih.gov/protein/XP_007991348.2","XP_007991348.2")</f>
        <v>XP_007991348.2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HYPERLINK("http://www.ncbi.nlm.nih.gov/protein/XP_007991348.2","LOW QUALITY PROTEIN: NF-kappa-B essential modulator")</f>
        <v>LOW QUALITY PROTEIN: NF-kappa-B essential modulator</v>
      </c>
      <c r="I6" t="s">
        <v>265</v>
      </c>
      <c r="J6" t="s">
        <v>69</v>
      </c>
      <c r="K6">
        <v>238</v>
      </c>
      <c r="L6" t="s">
        <v>72</v>
      </c>
      <c r="M6" t="s">
        <v>69</v>
      </c>
      <c r="N6" t="s">
        <v>71</v>
      </c>
      <c r="O6" t="s">
        <v>69</v>
      </c>
      <c r="P6">
        <v>131.17500000000001</v>
      </c>
      <c r="Q6" t="s">
        <v>69</v>
      </c>
      <c r="R6" t="s">
        <v>69</v>
      </c>
      <c r="S6">
        <v>246</v>
      </c>
      <c r="T6" t="s">
        <v>157</v>
      </c>
      <c r="U6" t="s">
        <v>69</v>
      </c>
      <c r="V6" t="s">
        <v>75</v>
      </c>
      <c r="W6" t="s">
        <v>69</v>
      </c>
      <c r="X6">
        <v>155.15600000000001</v>
      </c>
      <c r="Y6" t="s">
        <v>69</v>
      </c>
      <c r="Z6" t="s">
        <v>69</v>
      </c>
    </row>
    <row r="7" spans="1:26" x14ac:dyDescent="0.25">
      <c r="A7">
        <v>7</v>
      </c>
      <c r="B7" t="str">
        <f>HYPERLINK("http://www.ncbi.nlm.nih.gov/protein/ABZ10499.1","ABZ10499.1")</f>
        <v>ABZ10499.1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HYPERLINK("http://www.ncbi.nlm.nih.gov/protein/ABZ10499.1","inhibitor of kappa light polypeptide gene enhancer in B-cells, kinase gamma, isoform 2 (predicted)")</f>
        <v>inhibitor of kappa light polypeptide gene enhancer in B-cells, kinase gamma, isoform 2 (predicted)</v>
      </c>
      <c r="I7" t="s">
        <v>265</v>
      </c>
      <c r="J7" t="s">
        <v>69</v>
      </c>
      <c r="K7">
        <v>227</v>
      </c>
      <c r="L7" t="s">
        <v>72</v>
      </c>
      <c r="M7" t="s">
        <v>69</v>
      </c>
      <c r="N7" t="s">
        <v>71</v>
      </c>
      <c r="O7" t="s">
        <v>69</v>
      </c>
      <c r="P7">
        <v>131.17500000000001</v>
      </c>
      <c r="Q7" t="s">
        <v>69</v>
      </c>
      <c r="R7" t="s">
        <v>69</v>
      </c>
      <c r="S7">
        <v>235</v>
      </c>
      <c r="T7" t="s">
        <v>157</v>
      </c>
      <c r="U7" t="s">
        <v>69</v>
      </c>
      <c r="V7" t="s">
        <v>75</v>
      </c>
      <c r="W7" t="s">
        <v>69</v>
      </c>
      <c r="X7">
        <v>155.15600000000001</v>
      </c>
      <c r="Y7" t="s">
        <v>69</v>
      </c>
      <c r="Z7" t="s">
        <v>69</v>
      </c>
    </row>
    <row r="8" spans="1:26" x14ac:dyDescent="0.25">
      <c r="A8">
        <v>7</v>
      </c>
      <c r="B8" t="str">
        <f>HYPERLINK("http://www.ncbi.nlm.nih.gov/protein/MBZ3875511.1","MBZ3875511.1")</f>
        <v>MBZ3875511.1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HYPERLINK("http://www.ncbi.nlm.nih.gov/protein/MBZ3875511.1","NF-kappa-B essential modulator")</f>
        <v>NF-kappa-B essential modulator</v>
      </c>
      <c r="I8" t="s">
        <v>265</v>
      </c>
      <c r="J8" t="s">
        <v>69</v>
      </c>
      <c r="K8">
        <v>255</v>
      </c>
      <c r="L8" t="s">
        <v>72</v>
      </c>
      <c r="M8" t="s">
        <v>69</v>
      </c>
      <c r="N8" t="s">
        <v>71</v>
      </c>
      <c r="O8" t="s">
        <v>69</v>
      </c>
      <c r="P8">
        <v>131.17500000000001</v>
      </c>
      <c r="Q8" t="s">
        <v>69</v>
      </c>
      <c r="R8" t="s">
        <v>69</v>
      </c>
      <c r="S8">
        <v>263</v>
      </c>
      <c r="T8" t="s">
        <v>157</v>
      </c>
      <c r="U8" t="s">
        <v>69</v>
      </c>
      <c r="V8" t="s">
        <v>75</v>
      </c>
      <c r="W8" t="s">
        <v>69</v>
      </c>
      <c r="X8">
        <v>155.15600000000001</v>
      </c>
      <c r="Y8" t="s">
        <v>69</v>
      </c>
      <c r="Z8" t="s">
        <v>69</v>
      </c>
    </row>
    <row r="9" spans="1:26" x14ac:dyDescent="0.25">
      <c r="A9">
        <v>7</v>
      </c>
      <c r="B9" t="str">
        <f>HYPERLINK("http://www.ncbi.nlm.nih.gov/protein/XP_038307233.1","XP_038307233.1")</f>
        <v>XP_038307233.1</v>
      </c>
      <c r="C9">
        <v>136357</v>
      </c>
      <c r="D9" t="str">
        <f>HYPERLINK("http://www.ncbi.nlm.nih.gov/Taxonomy/Browser/wwwtax.cgi?mode=Info&amp;id=9615&amp;lvl=3&amp;lin=f&amp;keep=1&amp;srchmode=1&amp;unlock","9615")</f>
        <v>9615</v>
      </c>
      <c r="E9" t="s">
        <v>66</v>
      </c>
      <c r="F9" t="str">
        <f>HYPERLINK("http://www.ncbi.nlm.nih.gov/Taxonomy/Browser/wwwtax.cgi?mode=Info&amp;id=9615&amp;lvl=3&amp;lin=f&amp;keep=1&amp;srchmode=1&amp;unlock","Canis lupus familiaris")</f>
        <v>Canis lupus familiaris</v>
      </c>
      <c r="G9" t="s">
        <v>84</v>
      </c>
      <c r="H9" t="str">
        <f>HYPERLINK("http://www.ncbi.nlm.nih.gov/protein/XP_038307233.1","NF-kappa-B essential modulator isoform X7")</f>
        <v>NF-kappa-B essential modulator isoform X7</v>
      </c>
      <c r="I9" t="s">
        <v>265</v>
      </c>
      <c r="J9" t="s">
        <v>69</v>
      </c>
      <c r="K9">
        <v>227</v>
      </c>
      <c r="L9" t="s">
        <v>72</v>
      </c>
      <c r="M9" t="s">
        <v>69</v>
      </c>
      <c r="N9" t="s">
        <v>71</v>
      </c>
      <c r="O9" t="s">
        <v>69</v>
      </c>
      <c r="P9">
        <v>131.17500000000001</v>
      </c>
      <c r="Q9" t="s">
        <v>69</v>
      </c>
      <c r="R9" t="s">
        <v>69</v>
      </c>
      <c r="S9">
        <v>235</v>
      </c>
      <c r="T9" t="s">
        <v>157</v>
      </c>
      <c r="U9" t="s">
        <v>69</v>
      </c>
      <c r="V9" t="s">
        <v>75</v>
      </c>
      <c r="W9" t="s">
        <v>69</v>
      </c>
      <c r="X9">
        <v>155.15600000000001</v>
      </c>
      <c r="Y9" t="s">
        <v>69</v>
      </c>
      <c r="Z9" t="s">
        <v>69</v>
      </c>
    </row>
    <row r="10" spans="1:26" x14ac:dyDescent="0.25">
      <c r="A10">
        <v>7</v>
      </c>
      <c r="B10" t="str">
        <f>HYPERLINK("http://www.ncbi.nlm.nih.gov/protein/XP_025843891.1","XP_025843891.1")</f>
        <v>XP_025843891.1</v>
      </c>
      <c r="C10">
        <v>38435</v>
      </c>
      <c r="D10" t="str">
        <f>HYPERLINK("http://www.ncbi.nlm.nih.gov/Taxonomy/Browser/wwwtax.cgi?mode=Info&amp;id=9627&amp;lvl=3&amp;lin=f&amp;keep=1&amp;srchmode=1&amp;unlock","9627")</f>
        <v>9627</v>
      </c>
      <c r="E10" t="s">
        <v>66</v>
      </c>
      <c r="F10" t="str">
        <f>HYPERLINK("http://www.ncbi.nlm.nih.gov/Taxonomy/Browser/wwwtax.cgi?mode=Info&amp;id=9627&amp;lvl=3&amp;lin=f&amp;keep=1&amp;srchmode=1&amp;unlock","Vulpes vulpes")</f>
        <v>Vulpes vulpes</v>
      </c>
      <c r="G10" t="s">
        <v>95</v>
      </c>
      <c r="H10" t="str">
        <f>HYPERLINK("http://www.ncbi.nlm.nih.gov/protein/XP_025843891.1","NF-kappa-B essential modulator isoform X5")</f>
        <v>NF-kappa-B essential modulator isoform X5</v>
      </c>
      <c r="I10" t="s">
        <v>265</v>
      </c>
      <c r="J10" t="s">
        <v>69</v>
      </c>
      <c r="K10">
        <v>227</v>
      </c>
      <c r="L10" t="s">
        <v>72</v>
      </c>
      <c r="M10" t="s">
        <v>69</v>
      </c>
      <c r="N10" t="s">
        <v>71</v>
      </c>
      <c r="O10" t="s">
        <v>69</v>
      </c>
      <c r="P10">
        <v>131.17500000000001</v>
      </c>
      <c r="Q10" t="s">
        <v>69</v>
      </c>
      <c r="R10" t="s">
        <v>69</v>
      </c>
      <c r="S10">
        <v>235</v>
      </c>
      <c r="T10" t="s">
        <v>157</v>
      </c>
      <c r="U10" t="s">
        <v>69</v>
      </c>
      <c r="V10" t="s">
        <v>75</v>
      </c>
      <c r="W10" t="s">
        <v>69</v>
      </c>
      <c r="X10">
        <v>155.15600000000001</v>
      </c>
      <c r="Y10" t="s">
        <v>69</v>
      </c>
      <c r="Z10" t="s">
        <v>69</v>
      </c>
    </row>
    <row r="11" spans="1:26" x14ac:dyDescent="0.25">
      <c r="A11">
        <v>7</v>
      </c>
      <c r="B11" t="str">
        <f>HYPERLINK("http://www.ncbi.nlm.nih.gov/protein/CAD7682954.1","CAD7682954.1")</f>
        <v>CAD7682954.1</v>
      </c>
      <c r="C11">
        <v>27271</v>
      </c>
      <c r="D11" t="str">
        <f>HYPERLINK("http://www.ncbi.nlm.nih.gov/Taxonomy/Browser/wwwtax.cgi?mode=Info&amp;id=34880&amp;lvl=3&amp;lin=f&amp;keep=1&amp;srchmode=1&amp;unlock","34880")</f>
        <v>34880</v>
      </c>
      <c r="E11" t="s">
        <v>66</v>
      </c>
      <c r="F11" t="str">
        <f>HYPERLINK("http://www.ncbi.nlm.nih.gov/Taxonomy/Browser/wwwtax.cgi?mode=Info&amp;id=34880&amp;lvl=3&amp;lin=f&amp;keep=1&amp;srchmode=1&amp;unlock","Nyctereutes procyonoides")</f>
        <v>Nyctereutes procyonoides</v>
      </c>
      <c r="G11" t="s">
        <v>92</v>
      </c>
      <c r="H11" t="str">
        <f>HYPERLINK("http://www.ncbi.nlm.nih.gov/protein/CAD7682954.1","unnamed protein product")</f>
        <v>unnamed protein product</v>
      </c>
      <c r="I11" t="s">
        <v>265</v>
      </c>
      <c r="J11" t="s">
        <v>69</v>
      </c>
      <c r="K11">
        <v>265</v>
      </c>
      <c r="L11" t="s">
        <v>72</v>
      </c>
      <c r="M11" t="s">
        <v>69</v>
      </c>
      <c r="N11" t="s">
        <v>71</v>
      </c>
      <c r="O11" t="s">
        <v>69</v>
      </c>
      <c r="P11">
        <v>131.17500000000001</v>
      </c>
      <c r="Q11" t="s">
        <v>69</v>
      </c>
      <c r="R11" t="s">
        <v>69</v>
      </c>
      <c r="S11">
        <v>273</v>
      </c>
      <c r="T11" t="s">
        <v>157</v>
      </c>
      <c r="U11" t="s">
        <v>69</v>
      </c>
      <c r="V11" t="s">
        <v>75</v>
      </c>
      <c r="W11" t="s">
        <v>69</v>
      </c>
      <c r="X11">
        <v>155.15600000000001</v>
      </c>
      <c r="Y11" t="s">
        <v>69</v>
      </c>
      <c r="Z11" t="s">
        <v>69</v>
      </c>
    </row>
    <row r="12" spans="1:26" x14ac:dyDescent="0.25">
      <c r="A12">
        <v>7</v>
      </c>
      <c r="B12" t="str">
        <f>HYPERLINK("http://www.ncbi.nlm.nih.gov/protein/XP_004001080.1","XP_004001080.1")</f>
        <v>XP_004001080.1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HYPERLINK("http://www.ncbi.nlm.nih.gov/protein/XP_004001080.1","NF-kappa-B essential modulator isoform X1")</f>
        <v>NF-kappa-B essential modulator isoform X1</v>
      </c>
      <c r="I12" t="s">
        <v>265</v>
      </c>
      <c r="J12" t="s">
        <v>69</v>
      </c>
      <c r="K12">
        <v>227</v>
      </c>
      <c r="L12" t="s">
        <v>72</v>
      </c>
      <c r="M12" t="s">
        <v>69</v>
      </c>
      <c r="N12" t="s">
        <v>71</v>
      </c>
      <c r="O12" t="s">
        <v>69</v>
      </c>
      <c r="P12">
        <v>131.17500000000001</v>
      </c>
      <c r="Q12" t="s">
        <v>69</v>
      </c>
      <c r="R12" t="s">
        <v>69</v>
      </c>
      <c r="S12">
        <v>235</v>
      </c>
      <c r="T12" t="s">
        <v>157</v>
      </c>
      <c r="U12" t="s">
        <v>69</v>
      </c>
      <c r="V12" t="s">
        <v>75</v>
      </c>
      <c r="W12" t="s">
        <v>69</v>
      </c>
      <c r="X12">
        <v>155.15600000000001</v>
      </c>
      <c r="Y12" t="s">
        <v>69</v>
      </c>
      <c r="Z12" t="s">
        <v>69</v>
      </c>
    </row>
    <row r="13" spans="1:26" x14ac:dyDescent="0.25">
      <c r="A13">
        <v>7</v>
      </c>
      <c r="B13" t="str">
        <f>HYPERLINK("http://www.ncbi.nlm.nih.gov/protein/XP_047703405.1","XP_047703405.1")</f>
        <v>XP_047703405.1</v>
      </c>
      <c r="C13">
        <v>56399</v>
      </c>
      <c r="D13" t="str">
        <f>HYPERLINK("http://www.ncbi.nlm.nih.gov/Taxonomy/Browser/wwwtax.cgi?mode=Info&amp;id=61388&amp;lvl=3&amp;lin=f&amp;keep=1&amp;srchmode=1&amp;unlock","61388")</f>
        <v>61388</v>
      </c>
      <c r="E13" t="s">
        <v>66</v>
      </c>
      <c r="F13" t="str">
        <f>HYPERLINK("http://www.ncbi.nlm.nih.gov/Taxonomy/Browser/wwwtax.cgi?mode=Info&amp;id=61388&amp;lvl=3&amp;lin=f&amp;keep=1&amp;srchmode=1&amp;unlock","Prionailurus viverrinus")</f>
        <v>Prionailurus viverrinus</v>
      </c>
      <c r="G13" t="s">
        <v>94</v>
      </c>
      <c r="H13" t="str">
        <f>HYPERLINK("http://www.ncbi.nlm.nih.gov/protein/XP_047703405.1","NF-kappa-B essential modulator isoform X1")</f>
        <v>NF-kappa-B essential modulator isoform X1</v>
      </c>
      <c r="I13" t="s">
        <v>265</v>
      </c>
      <c r="J13" t="s">
        <v>69</v>
      </c>
      <c r="K13">
        <v>227</v>
      </c>
      <c r="L13" t="s">
        <v>72</v>
      </c>
      <c r="M13" t="s">
        <v>69</v>
      </c>
      <c r="N13" t="s">
        <v>71</v>
      </c>
      <c r="O13" t="s">
        <v>69</v>
      </c>
      <c r="P13">
        <v>131.17500000000001</v>
      </c>
      <c r="Q13" t="s">
        <v>69</v>
      </c>
      <c r="R13" t="s">
        <v>69</v>
      </c>
      <c r="S13">
        <v>235</v>
      </c>
      <c r="T13" t="s">
        <v>157</v>
      </c>
      <c r="U13" t="s">
        <v>69</v>
      </c>
      <c r="V13" t="s">
        <v>75</v>
      </c>
      <c r="W13" t="s">
        <v>69</v>
      </c>
      <c r="X13">
        <v>155.15600000000001</v>
      </c>
      <c r="Y13" t="s">
        <v>69</v>
      </c>
      <c r="Z13" t="s">
        <v>69</v>
      </c>
    </row>
    <row r="14" spans="1:26" x14ac:dyDescent="0.25">
      <c r="A14">
        <v>7</v>
      </c>
      <c r="B14" t="str">
        <f>HYPERLINK("http://www.ncbi.nlm.nih.gov/protein/XP_030162147.1","XP_030162147.1")</f>
        <v>XP_030162147.1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HYPERLINK("http://www.ncbi.nlm.nih.gov/protein/XP_030162147.1","NF-kappa-B essential modulator isoform X1")</f>
        <v>NF-kappa-B essential modulator isoform X1</v>
      </c>
      <c r="I14" t="s">
        <v>265</v>
      </c>
      <c r="J14" t="s">
        <v>69</v>
      </c>
      <c r="K14">
        <v>227</v>
      </c>
      <c r="L14" t="s">
        <v>72</v>
      </c>
      <c r="M14" t="s">
        <v>69</v>
      </c>
      <c r="N14" t="s">
        <v>71</v>
      </c>
      <c r="O14" t="s">
        <v>69</v>
      </c>
      <c r="P14">
        <v>131.17500000000001</v>
      </c>
      <c r="Q14" t="s">
        <v>69</v>
      </c>
      <c r="R14" t="s">
        <v>69</v>
      </c>
      <c r="S14">
        <v>235</v>
      </c>
      <c r="T14" t="s">
        <v>157</v>
      </c>
      <c r="U14" t="s">
        <v>69</v>
      </c>
      <c r="V14" t="s">
        <v>75</v>
      </c>
      <c r="W14" t="s">
        <v>69</v>
      </c>
      <c r="X14">
        <v>155.15600000000001</v>
      </c>
      <c r="Y14" t="s">
        <v>69</v>
      </c>
      <c r="Z14" t="s">
        <v>69</v>
      </c>
    </row>
    <row r="15" spans="1:26" x14ac:dyDescent="0.25">
      <c r="A15">
        <v>7</v>
      </c>
      <c r="B15" t="str">
        <f>HYPERLINK("http://www.ncbi.nlm.nih.gov/protein/XP_046954391.1","XP_046954391.1")</f>
        <v>XP_046954391.1</v>
      </c>
      <c r="C15">
        <v>38764</v>
      </c>
      <c r="D15" t="str">
        <f>HYPERLINK("http://www.ncbi.nlm.nih.gov/Taxonomy/Browser/wwwtax.cgi?mode=Info&amp;id=61384&amp;lvl=3&amp;lin=f&amp;keep=1&amp;srchmode=1&amp;unlock","61384")</f>
        <v>61384</v>
      </c>
      <c r="E15" t="s">
        <v>66</v>
      </c>
      <c r="F15" t="str">
        <f>HYPERLINK("http://www.ncbi.nlm.nih.gov/Taxonomy/Browser/wwwtax.cgi?mode=Info&amp;id=61384&amp;lvl=3&amp;lin=f&amp;keep=1&amp;srchmode=1&amp;unlock","Lynx rufus")</f>
        <v>Lynx rufus</v>
      </c>
      <c r="G15" t="s">
        <v>93</v>
      </c>
      <c r="H15" t="str">
        <f>HYPERLINK("http://www.ncbi.nlm.nih.gov/protein/XP_046954391.1","NF-kappa-B essential modulator isoform X1")</f>
        <v>NF-kappa-B essential modulator isoform X1</v>
      </c>
      <c r="I15" t="s">
        <v>265</v>
      </c>
      <c r="J15" t="s">
        <v>69</v>
      </c>
      <c r="K15">
        <v>227</v>
      </c>
      <c r="L15" t="s">
        <v>72</v>
      </c>
      <c r="M15" t="s">
        <v>69</v>
      </c>
      <c r="N15" t="s">
        <v>71</v>
      </c>
      <c r="O15" t="s">
        <v>69</v>
      </c>
      <c r="P15">
        <v>131.17500000000001</v>
      </c>
      <c r="Q15" t="s">
        <v>69</v>
      </c>
      <c r="R15" t="s">
        <v>69</v>
      </c>
      <c r="S15">
        <v>235</v>
      </c>
      <c r="T15" t="s">
        <v>157</v>
      </c>
      <c r="U15" t="s">
        <v>69</v>
      </c>
      <c r="V15" t="s">
        <v>75</v>
      </c>
      <c r="W15" t="s">
        <v>69</v>
      </c>
      <c r="X15">
        <v>155.15600000000001</v>
      </c>
      <c r="Y15" t="s">
        <v>69</v>
      </c>
      <c r="Z15" t="s">
        <v>69</v>
      </c>
    </row>
    <row r="16" spans="1:26" x14ac:dyDescent="0.25">
      <c r="A16">
        <v>7</v>
      </c>
      <c r="B16" t="str">
        <f>HYPERLINK("http://www.ncbi.nlm.nih.gov/protein/XP_020749461.1","XP_020749461.1")</f>
        <v>XP_020749461.1</v>
      </c>
      <c r="C16">
        <v>48218</v>
      </c>
      <c r="D16" t="str">
        <f>HYPERLINK("http://www.ncbi.nlm.nih.gov/Taxonomy/Browser/wwwtax.cgi?mode=Info&amp;id=9880&amp;lvl=3&amp;lin=f&amp;keep=1&amp;srchmode=1&amp;unlock","9880")</f>
        <v>9880</v>
      </c>
      <c r="E16" t="s">
        <v>66</v>
      </c>
      <c r="F16" t="str">
        <f>HYPERLINK("http://www.ncbi.nlm.nih.gov/Taxonomy/Browser/wwwtax.cgi?mode=Info&amp;id=9880&amp;lvl=3&amp;lin=f&amp;keep=1&amp;srchmode=1&amp;unlock","Odocoileus virginianus texanus")</f>
        <v>Odocoileus virginianus texanus</v>
      </c>
      <c r="G16" t="s">
        <v>81</v>
      </c>
      <c r="H16" t="str">
        <f>HYPERLINK("http://www.ncbi.nlm.nih.gov/protein/XP_020749461.1","NF-kappa-B essential modulator isoform X6")</f>
        <v>NF-kappa-B essential modulator isoform X6</v>
      </c>
      <c r="I16" t="s">
        <v>265</v>
      </c>
      <c r="J16" t="s">
        <v>69</v>
      </c>
      <c r="K16">
        <v>227</v>
      </c>
      <c r="L16" t="s">
        <v>72</v>
      </c>
      <c r="M16" t="s">
        <v>69</v>
      </c>
      <c r="N16" t="s">
        <v>71</v>
      </c>
      <c r="O16" t="s">
        <v>69</v>
      </c>
      <c r="P16">
        <v>131.17500000000001</v>
      </c>
      <c r="Q16" t="s">
        <v>69</v>
      </c>
      <c r="R16" t="s">
        <v>69</v>
      </c>
      <c r="S16">
        <v>235</v>
      </c>
      <c r="T16" t="s">
        <v>157</v>
      </c>
      <c r="U16" t="s">
        <v>69</v>
      </c>
      <c r="V16" t="s">
        <v>75</v>
      </c>
      <c r="W16" t="s">
        <v>69</v>
      </c>
      <c r="X16">
        <v>155.15600000000001</v>
      </c>
      <c r="Y16" t="s">
        <v>69</v>
      </c>
      <c r="Z16" t="s">
        <v>69</v>
      </c>
    </row>
    <row r="17" spans="1:26" x14ac:dyDescent="0.25">
      <c r="A17">
        <v>7</v>
      </c>
      <c r="B17" t="str">
        <f>HYPERLINK("http://www.ncbi.nlm.nih.gov/protein/XP_025790087.1","XP_025790087.1")</f>
        <v>XP_025790087.1</v>
      </c>
      <c r="C17">
        <v>23623</v>
      </c>
      <c r="D17" t="str">
        <f>HYPERLINK("http://www.ncbi.nlm.nih.gov/Taxonomy/Browser/wwwtax.cgi?mode=Info&amp;id=9696&amp;lvl=3&amp;lin=f&amp;keep=1&amp;srchmode=1&amp;unlock","9696")</f>
        <v>9696</v>
      </c>
      <c r="E17" t="s">
        <v>66</v>
      </c>
      <c r="F17" t="str">
        <f>HYPERLINK("http://www.ncbi.nlm.nih.gov/Taxonomy/Browser/wwwtax.cgi?mode=Info&amp;id=9696&amp;lvl=3&amp;lin=f&amp;keep=1&amp;srchmode=1&amp;unlock","Puma concolor")</f>
        <v>Puma concolor</v>
      </c>
      <c r="G17" t="s">
        <v>91</v>
      </c>
      <c r="H17" t="str">
        <f>HYPERLINK("http://www.ncbi.nlm.nih.gov/protein/XP_025790087.1","NF-kappa-B essential modulator isoform X1")</f>
        <v>NF-kappa-B essential modulator isoform X1</v>
      </c>
      <c r="I17" t="s">
        <v>265</v>
      </c>
      <c r="J17" t="s">
        <v>69</v>
      </c>
      <c r="K17">
        <v>226</v>
      </c>
      <c r="L17" t="s">
        <v>72</v>
      </c>
      <c r="M17" t="s">
        <v>69</v>
      </c>
      <c r="N17" t="s">
        <v>71</v>
      </c>
      <c r="O17" t="s">
        <v>69</v>
      </c>
      <c r="P17">
        <v>131.17500000000001</v>
      </c>
      <c r="Q17" t="s">
        <v>69</v>
      </c>
      <c r="R17" t="s">
        <v>69</v>
      </c>
      <c r="S17">
        <v>234</v>
      </c>
      <c r="T17" t="s">
        <v>157</v>
      </c>
      <c r="U17" t="s">
        <v>69</v>
      </c>
      <c r="V17" t="s">
        <v>75</v>
      </c>
      <c r="W17" t="s">
        <v>69</v>
      </c>
      <c r="X17">
        <v>155.15600000000001</v>
      </c>
      <c r="Y17" t="s">
        <v>69</v>
      </c>
      <c r="Z17" t="s">
        <v>69</v>
      </c>
    </row>
    <row r="18" spans="1:26" x14ac:dyDescent="0.25">
      <c r="A18">
        <v>7</v>
      </c>
      <c r="B18" t="str">
        <f>HYPERLINK("http://www.ncbi.nlm.nih.gov/protein/XP_017521897.1","XP_017521897.1")</f>
        <v>XP_017521897.1</v>
      </c>
      <c r="C18">
        <v>56064</v>
      </c>
      <c r="D18" t="str">
        <f>HYPERLINK("http://www.ncbi.nlm.nih.gov/Taxonomy/Browser/wwwtax.cgi?mode=Info&amp;id=9974&amp;lvl=3&amp;lin=f&amp;keep=1&amp;srchmode=1&amp;unlock","9974")</f>
        <v>9974</v>
      </c>
      <c r="E18" t="s">
        <v>66</v>
      </c>
      <c r="F18" t="str">
        <f>HYPERLINK("http://www.ncbi.nlm.nih.gov/Taxonomy/Browser/wwwtax.cgi?mode=Info&amp;id=9974&amp;lvl=3&amp;lin=f&amp;keep=1&amp;srchmode=1&amp;unlock","Manis javanica")</f>
        <v>Manis javanica</v>
      </c>
      <c r="G18" t="s">
        <v>100</v>
      </c>
      <c r="H18" t="str">
        <f>HYPERLINK("http://www.ncbi.nlm.nih.gov/protein/XP_017521897.1","NF-kappa-B essential modulator isoform X1")</f>
        <v>NF-kappa-B essential modulator isoform X1</v>
      </c>
      <c r="I18" t="s">
        <v>265</v>
      </c>
      <c r="J18" t="s">
        <v>69</v>
      </c>
      <c r="K18">
        <v>227</v>
      </c>
      <c r="L18" t="s">
        <v>72</v>
      </c>
      <c r="M18" t="s">
        <v>69</v>
      </c>
      <c r="N18" t="s">
        <v>71</v>
      </c>
      <c r="O18" t="s">
        <v>69</v>
      </c>
      <c r="P18">
        <v>131.17500000000001</v>
      </c>
      <c r="Q18" t="s">
        <v>69</v>
      </c>
      <c r="R18" t="s">
        <v>69</v>
      </c>
      <c r="S18">
        <v>235</v>
      </c>
      <c r="T18" t="s">
        <v>157</v>
      </c>
      <c r="U18" t="s">
        <v>69</v>
      </c>
      <c r="V18" t="s">
        <v>75</v>
      </c>
      <c r="W18" t="s">
        <v>69</v>
      </c>
      <c r="X18">
        <v>155.15600000000001</v>
      </c>
      <c r="Y18" t="s">
        <v>69</v>
      </c>
      <c r="Z18" t="s">
        <v>69</v>
      </c>
    </row>
    <row r="19" spans="1:26" x14ac:dyDescent="0.25">
      <c r="A19">
        <v>7</v>
      </c>
      <c r="B19" t="str">
        <f>HYPERLINK("http://www.ncbi.nlm.nih.gov/protein/XP_015979392.2","XP_015979392.2")</f>
        <v>XP_015979392.2</v>
      </c>
      <c r="C19">
        <v>117142</v>
      </c>
      <c r="D19" t="str">
        <f>HYPERLINK("http://www.ncbi.nlm.nih.gov/Taxonomy/Browser/wwwtax.cgi?mode=Info&amp;id=9407&amp;lvl=3&amp;lin=f&amp;keep=1&amp;srchmode=1&amp;unlock","9407")</f>
        <v>9407</v>
      </c>
      <c r="E19" t="s">
        <v>66</v>
      </c>
      <c r="F19" t="str">
        <f>HYPERLINK("http://www.ncbi.nlm.nih.gov/Taxonomy/Browser/wwwtax.cgi?mode=Info&amp;id=9407&amp;lvl=3&amp;lin=f&amp;keep=1&amp;srchmode=1&amp;unlock","Rousettus aegyptiacus")</f>
        <v>Rousettus aegyptiacus</v>
      </c>
      <c r="G19" t="s">
        <v>103</v>
      </c>
      <c r="H19" t="str">
        <f>HYPERLINK("http://www.ncbi.nlm.nih.gov/protein/XP_015979392.2","NF-kappa-B essential modulator isoform X1")</f>
        <v>NF-kappa-B essential modulator isoform X1</v>
      </c>
      <c r="I19" t="s">
        <v>265</v>
      </c>
      <c r="J19" t="s">
        <v>69</v>
      </c>
      <c r="K19">
        <v>227</v>
      </c>
      <c r="L19" t="s">
        <v>72</v>
      </c>
      <c r="M19" t="s">
        <v>69</v>
      </c>
      <c r="N19" t="s">
        <v>71</v>
      </c>
      <c r="O19" t="s">
        <v>69</v>
      </c>
      <c r="P19">
        <v>131.17500000000001</v>
      </c>
      <c r="Q19" t="s">
        <v>69</v>
      </c>
      <c r="R19" t="s">
        <v>69</v>
      </c>
      <c r="S19">
        <v>235</v>
      </c>
      <c r="T19" t="s">
        <v>157</v>
      </c>
      <c r="U19" t="s">
        <v>69</v>
      </c>
      <c r="V19" t="s">
        <v>75</v>
      </c>
      <c r="W19" t="s">
        <v>69</v>
      </c>
      <c r="X19">
        <v>155.15600000000001</v>
      </c>
      <c r="Y19" t="s">
        <v>69</v>
      </c>
      <c r="Z19" t="s">
        <v>69</v>
      </c>
    </row>
    <row r="20" spans="1:26" x14ac:dyDescent="0.25">
      <c r="A20">
        <v>7</v>
      </c>
      <c r="B20" t="str">
        <f>HYPERLINK("http://www.ncbi.nlm.nih.gov/protein/NP_001164965.1","NP_001164965.1")</f>
        <v>NP_001164965.1</v>
      </c>
      <c r="C20">
        <v>53150</v>
      </c>
      <c r="D20" t="str">
        <f>HYPERLINK("http://www.ncbi.nlm.nih.gov/Taxonomy/Browser/wwwtax.cgi?mode=Info&amp;id=9986&amp;lvl=3&amp;lin=f&amp;keep=1&amp;srchmode=1&amp;unlock","9986")</f>
        <v>9986</v>
      </c>
      <c r="E20" t="s">
        <v>66</v>
      </c>
      <c r="F20" t="str">
        <f>HYPERLINK("http://www.ncbi.nlm.nih.gov/Taxonomy/Browser/wwwtax.cgi?mode=Info&amp;id=9986&amp;lvl=3&amp;lin=f&amp;keep=1&amp;srchmode=1&amp;unlock","Oryctolagus cuniculus")</f>
        <v>Oryctolagus cuniculus</v>
      </c>
      <c r="G20" t="s">
        <v>83</v>
      </c>
      <c r="H20" t="str">
        <f>HYPERLINK("http://www.ncbi.nlm.nih.gov/protein/NP_001164965.1","NF-kappa-B essential modulator")</f>
        <v>NF-kappa-B essential modulator</v>
      </c>
      <c r="I20" t="s">
        <v>265</v>
      </c>
      <c r="J20" t="s">
        <v>69</v>
      </c>
      <c r="K20">
        <v>227</v>
      </c>
      <c r="L20" t="s">
        <v>72</v>
      </c>
      <c r="M20" t="s">
        <v>69</v>
      </c>
      <c r="N20" t="s">
        <v>71</v>
      </c>
      <c r="O20" t="s">
        <v>69</v>
      </c>
      <c r="P20">
        <v>131.17500000000001</v>
      </c>
      <c r="Q20" t="s">
        <v>69</v>
      </c>
      <c r="R20" t="s">
        <v>69</v>
      </c>
      <c r="S20">
        <v>235</v>
      </c>
      <c r="T20" t="s">
        <v>157</v>
      </c>
      <c r="U20" t="s">
        <v>69</v>
      </c>
      <c r="V20" t="s">
        <v>75</v>
      </c>
      <c r="W20" t="s">
        <v>69</v>
      </c>
      <c r="X20">
        <v>155.15600000000001</v>
      </c>
      <c r="Y20" t="s">
        <v>69</v>
      </c>
      <c r="Z20" t="s">
        <v>69</v>
      </c>
    </row>
    <row r="21" spans="1:26" x14ac:dyDescent="0.25">
      <c r="A21">
        <v>7</v>
      </c>
      <c r="B21" t="str">
        <f>HYPERLINK("http://www.ncbi.nlm.nih.gov/protein/XP_042830262.1","XP_042830262.1")</f>
        <v>XP_042830262.1</v>
      </c>
      <c r="C21">
        <v>56089</v>
      </c>
      <c r="D21" t="str">
        <f>HYPERLINK("http://www.ncbi.nlm.nih.gov/Taxonomy/Browser/wwwtax.cgi?mode=Info&amp;id=9694&amp;lvl=3&amp;lin=f&amp;keep=1&amp;srchmode=1&amp;unlock","9694")</f>
        <v>9694</v>
      </c>
      <c r="E21" t="s">
        <v>66</v>
      </c>
      <c r="F21" t="str">
        <f>HYPERLINK("http://www.ncbi.nlm.nih.gov/Taxonomy/Browser/wwwtax.cgi?mode=Info&amp;id=9694&amp;lvl=3&amp;lin=f&amp;keep=1&amp;srchmode=1&amp;unlock","Panthera tigris")</f>
        <v>Panthera tigris</v>
      </c>
      <c r="G21" t="s">
        <v>89</v>
      </c>
      <c r="H21" t="str">
        <f>HYPERLINK("http://www.ncbi.nlm.nih.gov/protein/XP_042830262.1","NF-kappa-B essential modulator isoform X1")</f>
        <v>NF-kappa-B essential modulator isoform X1</v>
      </c>
      <c r="I21" t="s">
        <v>265</v>
      </c>
      <c r="J21" t="s">
        <v>69</v>
      </c>
      <c r="K21">
        <v>227</v>
      </c>
      <c r="L21" t="s">
        <v>72</v>
      </c>
      <c r="M21" t="s">
        <v>69</v>
      </c>
      <c r="N21" t="s">
        <v>71</v>
      </c>
      <c r="O21" t="s">
        <v>69</v>
      </c>
      <c r="P21">
        <v>131.17500000000001</v>
      </c>
      <c r="Q21" t="s">
        <v>69</v>
      </c>
      <c r="R21" t="s">
        <v>69</v>
      </c>
      <c r="S21">
        <v>235</v>
      </c>
      <c r="T21" t="s">
        <v>157</v>
      </c>
      <c r="U21" t="s">
        <v>69</v>
      </c>
      <c r="V21" t="s">
        <v>75</v>
      </c>
      <c r="W21" t="s">
        <v>69</v>
      </c>
      <c r="X21">
        <v>155.15600000000001</v>
      </c>
      <c r="Y21" t="s">
        <v>69</v>
      </c>
      <c r="Z21" t="s">
        <v>69</v>
      </c>
    </row>
    <row r="22" spans="1:26" x14ac:dyDescent="0.25">
      <c r="A22">
        <v>7</v>
      </c>
      <c r="B22" t="str">
        <f>HYPERLINK("http://www.ncbi.nlm.nih.gov/protein/NP_776779.1","NP_776779.1")</f>
        <v>NP_776779.1</v>
      </c>
      <c r="C22">
        <v>136186</v>
      </c>
      <c r="D22" t="str">
        <f>HYPERLINK("http://www.ncbi.nlm.nih.gov/Taxonomy/Browser/wwwtax.cgi?mode=Info&amp;id=9913&amp;lvl=3&amp;lin=f&amp;keep=1&amp;srchmode=1&amp;unlock","9913")</f>
        <v>9913</v>
      </c>
      <c r="E22" t="s">
        <v>66</v>
      </c>
      <c r="F22" t="str">
        <f>HYPERLINK("http://www.ncbi.nlm.nih.gov/Taxonomy/Browser/wwwtax.cgi?mode=Info&amp;id=9913&amp;lvl=3&amp;lin=f&amp;keep=1&amp;srchmode=1&amp;unlock","Bos taurus")</f>
        <v>Bos taurus</v>
      </c>
      <c r="G22" t="s">
        <v>82</v>
      </c>
      <c r="H22" t="str">
        <f>HYPERLINK("http://www.ncbi.nlm.nih.gov/protein/NP_776779.1","NF-kappa-B essential modulator")</f>
        <v>NF-kappa-B essential modulator</v>
      </c>
      <c r="I22" t="s">
        <v>265</v>
      </c>
      <c r="J22" t="s">
        <v>69</v>
      </c>
      <c r="K22">
        <v>227</v>
      </c>
      <c r="L22" t="s">
        <v>72</v>
      </c>
      <c r="M22" t="s">
        <v>69</v>
      </c>
      <c r="N22" t="s">
        <v>71</v>
      </c>
      <c r="O22" t="s">
        <v>69</v>
      </c>
      <c r="P22">
        <v>131.17500000000001</v>
      </c>
      <c r="Q22" t="s">
        <v>69</v>
      </c>
      <c r="R22" t="s">
        <v>69</v>
      </c>
      <c r="S22">
        <v>235</v>
      </c>
      <c r="T22" t="s">
        <v>157</v>
      </c>
      <c r="U22" t="s">
        <v>69</v>
      </c>
      <c r="V22" t="s">
        <v>75</v>
      </c>
      <c r="W22" t="s">
        <v>69</v>
      </c>
      <c r="X22">
        <v>155.15600000000001</v>
      </c>
      <c r="Y22" t="s">
        <v>69</v>
      </c>
      <c r="Z22" t="s">
        <v>69</v>
      </c>
    </row>
    <row r="23" spans="1:26" x14ac:dyDescent="0.25">
      <c r="A23">
        <v>7</v>
      </c>
      <c r="B23" t="str">
        <f>HYPERLINK("http://www.ncbi.nlm.nih.gov/protein/NP_001106524.1","NP_001106524.1")</f>
        <v>NP_001106524.1</v>
      </c>
      <c r="C23">
        <v>86952</v>
      </c>
      <c r="D23" t="str">
        <f>HYPERLINK("http://www.ncbi.nlm.nih.gov/Taxonomy/Browser/wwwtax.cgi?mode=Info&amp;id=9823&amp;lvl=3&amp;lin=f&amp;keep=1&amp;srchmode=1&amp;unlock","9823")</f>
        <v>9823</v>
      </c>
      <c r="E23" t="s">
        <v>66</v>
      </c>
      <c r="F23" t="str">
        <f>HYPERLINK("http://www.ncbi.nlm.nih.gov/Taxonomy/Browser/wwwtax.cgi?mode=Info&amp;id=9823&amp;lvl=3&amp;lin=f&amp;keep=1&amp;srchmode=1&amp;unlock","Sus scrofa")</f>
        <v>Sus scrofa</v>
      </c>
      <c r="G23" t="s">
        <v>85</v>
      </c>
      <c r="H23" t="str">
        <f>HYPERLINK("http://www.ncbi.nlm.nih.gov/protein/NP_001106524.1","NF-kappa-B essential modulator")</f>
        <v>NF-kappa-B essential modulator</v>
      </c>
      <c r="I23" t="s">
        <v>265</v>
      </c>
      <c r="J23" t="s">
        <v>69</v>
      </c>
      <c r="K23">
        <v>227</v>
      </c>
      <c r="L23" t="s">
        <v>72</v>
      </c>
      <c r="M23" t="s">
        <v>69</v>
      </c>
      <c r="N23" t="s">
        <v>71</v>
      </c>
      <c r="O23" t="s">
        <v>69</v>
      </c>
      <c r="P23">
        <v>131.17500000000001</v>
      </c>
      <c r="Q23" t="s">
        <v>69</v>
      </c>
      <c r="R23" t="s">
        <v>69</v>
      </c>
      <c r="S23">
        <v>235</v>
      </c>
      <c r="T23" t="s">
        <v>157</v>
      </c>
      <c r="U23" t="s">
        <v>69</v>
      </c>
      <c r="V23" t="s">
        <v>75</v>
      </c>
      <c r="W23" t="s">
        <v>69</v>
      </c>
      <c r="X23">
        <v>155.15600000000001</v>
      </c>
      <c r="Y23" t="s">
        <v>69</v>
      </c>
      <c r="Z23" t="s">
        <v>69</v>
      </c>
    </row>
    <row r="24" spans="1:26" x14ac:dyDescent="0.25">
      <c r="A24">
        <v>7</v>
      </c>
      <c r="B24" t="str">
        <f>HYPERLINK("http://www.ncbi.nlm.nih.gov/protein/XP_042125497.1","XP_042125497.1")</f>
        <v>XP_042125497.1</v>
      </c>
      <c r="C24">
        <v>54287</v>
      </c>
      <c r="D24" t="str">
        <f>HYPERLINK("http://www.ncbi.nlm.nih.gov/Taxonomy/Browser/wwwtax.cgi?mode=Info&amp;id=230844&amp;lvl=3&amp;lin=f&amp;keep=1&amp;srchmode=1&amp;unlock","230844")</f>
        <v>230844</v>
      </c>
      <c r="E24" t="s">
        <v>66</v>
      </c>
      <c r="F24" t="str">
        <f>HYPERLINK("http://www.ncbi.nlm.nih.gov/Taxonomy/Browser/wwwtax.cgi?mode=Info&amp;id=230844&amp;lvl=3&amp;lin=f&amp;keep=1&amp;srchmode=1&amp;unlock","Peromyscus maniculatus bairdii")</f>
        <v>Peromyscus maniculatus bairdii</v>
      </c>
      <c r="G24" t="s">
        <v>88</v>
      </c>
      <c r="H24" t="str">
        <f>HYPERLINK("http://www.ncbi.nlm.nih.gov/protein/XP_042125497.1","NF-kappa-B essential modulator isoform X3")</f>
        <v>NF-kappa-B essential modulator isoform X3</v>
      </c>
      <c r="I24" t="s">
        <v>265</v>
      </c>
      <c r="J24" t="s">
        <v>69</v>
      </c>
      <c r="K24">
        <v>227</v>
      </c>
      <c r="L24" t="s">
        <v>72</v>
      </c>
      <c r="M24" t="s">
        <v>69</v>
      </c>
      <c r="N24" t="s">
        <v>71</v>
      </c>
      <c r="O24" t="s">
        <v>69</v>
      </c>
      <c r="P24">
        <v>131.17500000000001</v>
      </c>
      <c r="Q24" t="s">
        <v>69</v>
      </c>
      <c r="R24" t="s">
        <v>69</v>
      </c>
      <c r="S24">
        <v>235</v>
      </c>
      <c r="T24" t="s">
        <v>157</v>
      </c>
      <c r="U24" t="s">
        <v>69</v>
      </c>
      <c r="V24" t="s">
        <v>75</v>
      </c>
      <c r="W24" t="s">
        <v>69</v>
      </c>
      <c r="X24">
        <v>155.15600000000001</v>
      </c>
      <c r="Y24" t="s">
        <v>69</v>
      </c>
      <c r="Z24" t="s">
        <v>69</v>
      </c>
    </row>
    <row r="25" spans="1:26" x14ac:dyDescent="0.25">
      <c r="A25">
        <v>7</v>
      </c>
      <c r="B25" t="str">
        <f>HYPERLINK("http://www.ncbi.nlm.nih.gov/protein/NP_001154895.1","NP_001154895.1")</f>
        <v>NP_001154895.1</v>
      </c>
      <c r="C25">
        <v>337449</v>
      </c>
      <c r="D25" t="str">
        <f>HYPERLINK("http://www.ncbi.nlm.nih.gov/Taxonomy/Browser/wwwtax.cgi?mode=Info&amp;id=10090&amp;lvl=3&amp;lin=f&amp;keep=1&amp;srchmode=1&amp;unlock","10090")</f>
        <v>10090</v>
      </c>
      <c r="E25" t="s">
        <v>66</v>
      </c>
      <c r="F25" t="str">
        <f>HYPERLINK("http://www.ncbi.nlm.nih.gov/Taxonomy/Browser/wwwtax.cgi?mode=Info&amp;id=10090&amp;lvl=3&amp;lin=f&amp;keep=1&amp;srchmode=1&amp;unlock","Mus musculus")</f>
        <v>Mus musculus</v>
      </c>
      <c r="G25" t="s">
        <v>104</v>
      </c>
      <c r="H25" t="str">
        <f>HYPERLINK("http://www.ncbi.nlm.nih.gov/protein/NP_001154895.1","NF-kappa-B essential modulator isoform 1")</f>
        <v>NF-kappa-B essential modulator isoform 1</v>
      </c>
      <c r="I25" t="s">
        <v>265</v>
      </c>
      <c r="J25" t="s">
        <v>69</v>
      </c>
      <c r="K25">
        <v>227</v>
      </c>
      <c r="L25" t="s">
        <v>72</v>
      </c>
      <c r="M25" t="s">
        <v>69</v>
      </c>
      <c r="N25" t="s">
        <v>71</v>
      </c>
      <c r="O25" t="s">
        <v>69</v>
      </c>
      <c r="P25">
        <v>131.17500000000001</v>
      </c>
      <c r="Q25" t="s">
        <v>69</v>
      </c>
      <c r="R25" t="s">
        <v>69</v>
      </c>
      <c r="S25">
        <v>235</v>
      </c>
      <c r="T25" t="s">
        <v>157</v>
      </c>
      <c r="U25" t="s">
        <v>69</v>
      </c>
      <c r="V25" t="s">
        <v>75</v>
      </c>
      <c r="W25" t="s">
        <v>69</v>
      </c>
      <c r="X25">
        <v>155.15600000000001</v>
      </c>
      <c r="Y25" t="s">
        <v>69</v>
      </c>
      <c r="Z25" t="s">
        <v>69</v>
      </c>
    </row>
    <row r="26" spans="1:26" x14ac:dyDescent="0.25">
      <c r="A26">
        <v>7</v>
      </c>
      <c r="B26" t="str">
        <f>HYPERLINK("http://www.ncbi.nlm.nih.gov/protein/NP_954534.1","NP_954534.1")</f>
        <v>NP_954534.1</v>
      </c>
      <c r="C26">
        <v>158159</v>
      </c>
      <c r="D26" t="str">
        <f>HYPERLINK("http://www.ncbi.nlm.nih.gov/Taxonomy/Browser/wwwtax.cgi?mode=Info&amp;id=10116&amp;lvl=3&amp;lin=f&amp;keep=1&amp;srchmode=1&amp;unlock","10116")</f>
        <v>10116</v>
      </c>
      <c r="E26" t="s">
        <v>66</v>
      </c>
      <c r="F26" t="str">
        <f>HYPERLINK("http://www.ncbi.nlm.nih.gov/Taxonomy/Browser/wwwtax.cgi?mode=Info&amp;id=10116&amp;lvl=3&amp;lin=f&amp;keep=1&amp;srchmode=1&amp;unlock","Rattus norvegicus")</f>
        <v>Rattus norvegicus</v>
      </c>
      <c r="G26" t="s">
        <v>102</v>
      </c>
      <c r="H26" t="str">
        <f>HYPERLINK("http://www.ncbi.nlm.nih.gov/protein/NP_954534.1","NF-kappa-B essential modulator")</f>
        <v>NF-kappa-B essential modulator</v>
      </c>
      <c r="I26" t="s">
        <v>265</v>
      </c>
      <c r="J26" t="s">
        <v>69</v>
      </c>
      <c r="K26">
        <v>227</v>
      </c>
      <c r="L26" t="s">
        <v>72</v>
      </c>
      <c r="M26" t="s">
        <v>69</v>
      </c>
      <c r="N26" t="s">
        <v>71</v>
      </c>
      <c r="O26" t="s">
        <v>69</v>
      </c>
      <c r="P26">
        <v>131.17500000000001</v>
      </c>
      <c r="Q26" t="s">
        <v>69</v>
      </c>
      <c r="R26" t="s">
        <v>69</v>
      </c>
      <c r="S26">
        <v>235</v>
      </c>
      <c r="T26" t="s">
        <v>157</v>
      </c>
      <c r="U26" t="s">
        <v>69</v>
      </c>
      <c r="V26" t="s">
        <v>75</v>
      </c>
      <c r="W26" t="s">
        <v>69</v>
      </c>
      <c r="X26">
        <v>155.15600000000001</v>
      </c>
      <c r="Y26" t="s">
        <v>69</v>
      </c>
      <c r="Z26" t="s">
        <v>69</v>
      </c>
    </row>
    <row r="27" spans="1:26" x14ac:dyDescent="0.25">
      <c r="A27">
        <v>7</v>
      </c>
      <c r="B27" t="str">
        <f>HYPERLINK("http://www.ncbi.nlm.nih.gov/protein/ELV11191.1","ELV11191.1")</f>
        <v>ELV11191.1</v>
      </c>
      <c r="C27">
        <v>59507</v>
      </c>
      <c r="D27" t="str">
        <f>HYPERLINK("http://www.ncbi.nlm.nih.gov/Taxonomy/Browser/wwwtax.cgi?mode=Info&amp;id=246437&amp;lvl=3&amp;lin=f&amp;keep=1&amp;srchmode=1&amp;unlock","246437")</f>
        <v>246437</v>
      </c>
      <c r="E27" t="s">
        <v>66</v>
      </c>
      <c r="F27" t="str">
        <f>HYPERLINK("http://www.ncbi.nlm.nih.gov/Taxonomy/Browser/wwwtax.cgi?mode=Info&amp;id=246437&amp;lvl=3&amp;lin=f&amp;keep=1&amp;srchmode=1&amp;unlock","Tupaia chinensis")</f>
        <v>Tupaia chinensis</v>
      </c>
      <c r="G27" t="s">
        <v>97</v>
      </c>
      <c r="H27" t="str">
        <f>HYPERLINK("http://www.ncbi.nlm.nih.gov/protein/ELV11191.1","NF-kappa-B essential modulator")</f>
        <v>NF-kappa-B essential modulator</v>
      </c>
      <c r="I27" t="s">
        <v>265</v>
      </c>
      <c r="J27" t="s">
        <v>69</v>
      </c>
      <c r="K27">
        <v>227</v>
      </c>
      <c r="L27" t="s">
        <v>116</v>
      </c>
      <c r="M27" t="s">
        <v>153</v>
      </c>
      <c r="N27" t="s">
        <v>117</v>
      </c>
      <c r="O27" t="s">
        <v>153</v>
      </c>
      <c r="P27">
        <v>149.208</v>
      </c>
      <c r="Q27" t="s">
        <v>69</v>
      </c>
      <c r="R27" t="s">
        <v>69</v>
      </c>
      <c r="S27">
        <v>235</v>
      </c>
      <c r="T27" t="s">
        <v>157</v>
      </c>
      <c r="U27" t="s">
        <v>69</v>
      </c>
      <c r="V27" t="s">
        <v>75</v>
      </c>
      <c r="W27" t="s">
        <v>69</v>
      </c>
      <c r="X27">
        <v>155.15600000000001</v>
      </c>
      <c r="Y27" t="s">
        <v>69</v>
      </c>
      <c r="Z27" t="s">
        <v>69</v>
      </c>
    </row>
    <row r="28" spans="1:26" x14ac:dyDescent="0.25">
      <c r="A28">
        <v>7</v>
      </c>
      <c r="B28" t="str">
        <f>HYPERLINK("http://www.ncbi.nlm.nih.gov/protein/XP_012981324.1","XP_012981324.1")</f>
        <v>XP_012981324.1</v>
      </c>
      <c r="C28">
        <v>54410</v>
      </c>
      <c r="D28" t="str">
        <f>HYPERLINK("http://www.ncbi.nlm.nih.gov/Taxonomy/Browser/wwwtax.cgi?mode=Info&amp;id=10036&amp;lvl=3&amp;lin=f&amp;keep=1&amp;srchmode=1&amp;unlock","10036")</f>
        <v>10036</v>
      </c>
      <c r="E28" t="s">
        <v>66</v>
      </c>
      <c r="F28" t="str">
        <f>HYPERLINK("http://www.ncbi.nlm.nih.gov/Taxonomy/Browser/wwwtax.cgi?mode=Info&amp;id=10036&amp;lvl=3&amp;lin=f&amp;keep=1&amp;srchmode=1&amp;unlock","Mesocricetus auratus")</f>
        <v>Mesocricetus auratus</v>
      </c>
      <c r="G28" t="s">
        <v>87</v>
      </c>
      <c r="H28" t="str">
        <f>HYPERLINK("http://www.ncbi.nlm.nih.gov/protein/XP_012981324.1","NF-kappa-B essential modulator isoform X1")</f>
        <v>NF-kappa-B essential modulator isoform X1</v>
      </c>
      <c r="I28" t="s">
        <v>265</v>
      </c>
      <c r="J28" t="s">
        <v>69</v>
      </c>
      <c r="K28">
        <v>227</v>
      </c>
      <c r="L28" t="s">
        <v>72</v>
      </c>
      <c r="M28" t="s">
        <v>69</v>
      </c>
      <c r="N28" t="s">
        <v>71</v>
      </c>
      <c r="O28" t="s">
        <v>69</v>
      </c>
      <c r="P28">
        <v>131.17500000000001</v>
      </c>
      <c r="Q28" t="s">
        <v>69</v>
      </c>
      <c r="R28" t="s">
        <v>69</v>
      </c>
      <c r="S28">
        <v>235</v>
      </c>
      <c r="T28" t="s">
        <v>157</v>
      </c>
      <c r="U28" t="s">
        <v>69</v>
      </c>
      <c r="V28" t="s">
        <v>75</v>
      </c>
      <c r="W28" t="s">
        <v>69</v>
      </c>
      <c r="X28">
        <v>155.15600000000001</v>
      </c>
      <c r="Y28" t="s">
        <v>69</v>
      </c>
      <c r="Z28" t="s">
        <v>69</v>
      </c>
    </row>
    <row r="29" spans="1:26" x14ac:dyDescent="0.25">
      <c r="A29">
        <v>7</v>
      </c>
      <c r="B29" t="str">
        <f>HYPERLINK("http://www.ncbi.nlm.nih.gov/protein/XP_012905560.1","XP_012905560.1")</f>
        <v>XP_012905560.1</v>
      </c>
      <c r="C29">
        <v>58003</v>
      </c>
      <c r="D29" t="str">
        <f>HYPERLINK("http://www.ncbi.nlm.nih.gov/Taxonomy/Browser/wwwtax.cgi?mode=Info&amp;id=9669&amp;lvl=3&amp;lin=f&amp;keep=1&amp;srchmode=1&amp;unlock","9669")</f>
        <v>9669</v>
      </c>
      <c r="E29" t="s">
        <v>66</v>
      </c>
      <c r="F29" t="str">
        <f>HYPERLINK("http://www.ncbi.nlm.nih.gov/Taxonomy/Browser/wwwtax.cgi?mode=Info&amp;id=9669&amp;lvl=3&amp;lin=f&amp;keep=1&amp;srchmode=1&amp;unlock","Mustela putorius furo")</f>
        <v>Mustela putorius furo</v>
      </c>
      <c r="G29" t="s">
        <v>98</v>
      </c>
      <c r="H29" t="str">
        <f>HYPERLINK("http://www.ncbi.nlm.nih.gov/protein/XP_012905560.1","NF-kappa-B essential modulator")</f>
        <v>NF-kappa-B essential modulator</v>
      </c>
      <c r="I29" t="s">
        <v>265</v>
      </c>
      <c r="J29" t="s">
        <v>69</v>
      </c>
      <c r="K29">
        <v>227</v>
      </c>
      <c r="L29" t="s">
        <v>72</v>
      </c>
      <c r="M29" t="s">
        <v>69</v>
      </c>
      <c r="N29" t="s">
        <v>71</v>
      </c>
      <c r="O29" t="s">
        <v>69</v>
      </c>
      <c r="P29">
        <v>131.17500000000001</v>
      </c>
      <c r="Q29" t="s">
        <v>69</v>
      </c>
      <c r="R29" t="s">
        <v>69</v>
      </c>
      <c r="S29">
        <v>235</v>
      </c>
      <c r="T29" t="s">
        <v>157</v>
      </c>
      <c r="U29" t="s">
        <v>69</v>
      </c>
      <c r="V29" t="s">
        <v>75</v>
      </c>
      <c r="W29" t="s">
        <v>69</v>
      </c>
      <c r="X29">
        <v>155.15600000000001</v>
      </c>
      <c r="Y29" t="s">
        <v>69</v>
      </c>
      <c r="Z29" t="s">
        <v>69</v>
      </c>
    </row>
    <row r="30" spans="1:26" x14ac:dyDescent="0.25">
      <c r="A30">
        <v>7</v>
      </c>
      <c r="B30" t="str">
        <f>HYPERLINK("http://www.ncbi.nlm.nih.gov/protein/XP_044091753.1","XP_044091753.1")</f>
        <v>XP_044091753.1</v>
      </c>
      <c r="C30">
        <v>44640</v>
      </c>
      <c r="D30" t="str">
        <f>HYPERLINK("http://www.ncbi.nlm.nih.gov/Taxonomy/Browser/wwwtax.cgi?mode=Info&amp;id=452646&amp;lvl=3&amp;lin=f&amp;keep=1&amp;srchmode=1&amp;unlock","452646")</f>
        <v>452646</v>
      </c>
      <c r="E30" t="s">
        <v>66</v>
      </c>
      <c r="F30" t="str">
        <f>HYPERLINK("http://www.ncbi.nlm.nih.gov/Taxonomy/Browser/wwwtax.cgi?mode=Info&amp;id=452646&amp;lvl=3&amp;lin=f&amp;keep=1&amp;srchmode=1&amp;unlock","Neogale vison")</f>
        <v>Neogale vison</v>
      </c>
      <c r="G30" t="s">
        <v>96</v>
      </c>
      <c r="H30" t="str">
        <f>HYPERLINK("http://www.ncbi.nlm.nih.gov/protein/XP_044091753.1","NF-kappa-B essential modulator isoform X1")</f>
        <v>NF-kappa-B essential modulator isoform X1</v>
      </c>
      <c r="I30" t="s">
        <v>265</v>
      </c>
      <c r="J30" t="s">
        <v>69</v>
      </c>
      <c r="K30">
        <v>227</v>
      </c>
      <c r="L30" t="s">
        <v>72</v>
      </c>
      <c r="M30" t="s">
        <v>69</v>
      </c>
      <c r="N30" t="s">
        <v>71</v>
      </c>
      <c r="O30" t="s">
        <v>69</v>
      </c>
      <c r="P30">
        <v>131.17500000000001</v>
      </c>
      <c r="Q30" t="s">
        <v>69</v>
      </c>
      <c r="R30" t="s">
        <v>69</v>
      </c>
      <c r="S30">
        <v>235</v>
      </c>
      <c r="T30" t="s">
        <v>157</v>
      </c>
      <c r="U30" t="s">
        <v>69</v>
      </c>
      <c r="V30" t="s">
        <v>75</v>
      </c>
      <c r="W30" t="s">
        <v>69</v>
      </c>
      <c r="X30">
        <v>155.15600000000001</v>
      </c>
      <c r="Y30" t="s">
        <v>69</v>
      </c>
      <c r="Z30" t="s">
        <v>69</v>
      </c>
    </row>
    <row r="31" spans="1:26" x14ac:dyDescent="0.25">
      <c r="A31">
        <v>7</v>
      </c>
      <c r="B31" t="str">
        <f>HYPERLINK("http://www.ncbi.nlm.nih.gov/protein/XP_045850813.1","XP_045850813.1")</f>
        <v>XP_045850813.1</v>
      </c>
      <c r="C31">
        <v>50752</v>
      </c>
      <c r="D31" t="str">
        <f>HYPERLINK("http://www.ncbi.nlm.nih.gov/Taxonomy/Browser/wwwtax.cgi?mode=Info&amp;id=9662&amp;lvl=3&amp;lin=f&amp;keep=1&amp;srchmode=1&amp;unlock","9662")</f>
        <v>9662</v>
      </c>
      <c r="E31" t="s">
        <v>66</v>
      </c>
      <c r="F31" t="str">
        <f>HYPERLINK("http://www.ncbi.nlm.nih.gov/Taxonomy/Browser/wwwtax.cgi?mode=Info&amp;id=9662&amp;lvl=3&amp;lin=f&amp;keep=1&amp;srchmode=1&amp;unlock","Meles meles")</f>
        <v>Meles meles</v>
      </c>
      <c r="G31" t="s">
        <v>99</v>
      </c>
      <c r="H31" t="str">
        <f>HYPERLINK("http://www.ncbi.nlm.nih.gov/protein/XP_045850813.1","NF-kappa-B essential modulator isoform X1")</f>
        <v>NF-kappa-B essential modulator isoform X1</v>
      </c>
      <c r="I31" t="s">
        <v>265</v>
      </c>
      <c r="J31" t="s">
        <v>69</v>
      </c>
      <c r="K31">
        <v>227</v>
      </c>
      <c r="L31" t="s">
        <v>72</v>
      </c>
      <c r="M31" t="s">
        <v>69</v>
      </c>
      <c r="N31" t="s">
        <v>71</v>
      </c>
      <c r="O31" t="s">
        <v>69</v>
      </c>
      <c r="P31">
        <v>131.17500000000001</v>
      </c>
      <c r="Q31" t="s">
        <v>69</v>
      </c>
      <c r="R31" t="s">
        <v>69</v>
      </c>
      <c r="S31">
        <v>235</v>
      </c>
      <c r="T31" t="s">
        <v>157</v>
      </c>
      <c r="U31" t="s">
        <v>69</v>
      </c>
      <c r="V31" t="s">
        <v>75</v>
      </c>
      <c r="W31" t="s">
        <v>69</v>
      </c>
      <c r="X31">
        <v>155.15600000000001</v>
      </c>
      <c r="Y31" t="s">
        <v>69</v>
      </c>
      <c r="Z31" t="s">
        <v>69</v>
      </c>
    </row>
    <row r="32" spans="1:26" x14ac:dyDescent="0.25">
      <c r="A32">
        <v>7</v>
      </c>
      <c r="B32" t="str">
        <f>HYPERLINK("http://www.ncbi.nlm.nih.gov/protein/XP_006029398.2","XP_006029398.2")</f>
        <v>XP_006029398.2</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HYPERLINK("http://www.ncbi.nlm.nih.gov/protein/XP_006029398.2","NF-kappa-B essential modulator")</f>
        <v>NF-kappa-B essential modulator</v>
      </c>
      <c r="I32" t="s">
        <v>265</v>
      </c>
      <c r="J32" t="s">
        <v>69</v>
      </c>
      <c r="K32">
        <v>336</v>
      </c>
      <c r="L32" t="s">
        <v>72</v>
      </c>
      <c r="M32" t="s">
        <v>69</v>
      </c>
      <c r="N32" t="s">
        <v>71</v>
      </c>
      <c r="O32" t="s">
        <v>69</v>
      </c>
      <c r="P32">
        <v>131.17500000000001</v>
      </c>
      <c r="Q32" t="s">
        <v>69</v>
      </c>
      <c r="R32" t="s">
        <v>69</v>
      </c>
      <c r="S32">
        <v>344</v>
      </c>
      <c r="T32" t="s">
        <v>157</v>
      </c>
      <c r="U32" t="s">
        <v>69</v>
      </c>
      <c r="V32" t="s">
        <v>75</v>
      </c>
      <c r="W32" t="s">
        <v>69</v>
      </c>
      <c r="X32">
        <v>155.15600000000001</v>
      </c>
      <c r="Y32" t="s">
        <v>69</v>
      </c>
      <c r="Z32" t="s">
        <v>69</v>
      </c>
    </row>
    <row r="33" spans="1:26" x14ac:dyDescent="0.25">
      <c r="A33">
        <v>7</v>
      </c>
      <c r="B33" t="str">
        <f>HYPERLINK("http://www.ncbi.nlm.nih.gov/protein/XP_041428109.1","XP_041428109.1")</f>
        <v>XP_041428109.1</v>
      </c>
      <c r="C33">
        <v>146185</v>
      </c>
      <c r="D33" t="str">
        <f>HYPERLINK("http://www.ncbi.nlm.nih.gov/Taxonomy/Browser/wwwtax.cgi?mode=Info&amp;id=8355&amp;lvl=3&amp;lin=f&amp;keep=1&amp;srchmode=1&amp;unlock","8355")</f>
        <v>8355</v>
      </c>
      <c r="E33" t="s">
        <v>111</v>
      </c>
      <c r="F33" t="str">
        <f>HYPERLINK("http://www.ncbi.nlm.nih.gov/Taxonomy/Browser/wwwtax.cgi?mode=Info&amp;id=8355&amp;lvl=3&amp;lin=f&amp;keep=1&amp;srchmode=1&amp;unlock","Xenopus laevis")</f>
        <v>Xenopus laevis</v>
      </c>
      <c r="G33" t="s">
        <v>112</v>
      </c>
      <c r="H33" t="str">
        <f>HYPERLINK("http://www.ncbi.nlm.nih.gov/protein/XP_041428109.1","inhibitor of nuclear factor kappa B kinase subunit gamma L homeolog isoform X3")</f>
        <v>inhibitor of nuclear factor kappa B kinase subunit gamma L homeolog isoform X3</v>
      </c>
      <c r="I33" t="s">
        <v>265</v>
      </c>
      <c r="J33" t="s">
        <v>69</v>
      </c>
      <c r="K33">
        <v>323</v>
      </c>
      <c r="L33" t="s">
        <v>72</v>
      </c>
      <c r="M33" t="s">
        <v>69</v>
      </c>
      <c r="N33" t="s">
        <v>71</v>
      </c>
      <c r="O33" t="s">
        <v>69</v>
      </c>
      <c r="P33">
        <v>131.17500000000001</v>
      </c>
      <c r="Q33" t="s">
        <v>69</v>
      </c>
      <c r="R33" t="s">
        <v>69</v>
      </c>
      <c r="S33">
        <v>331</v>
      </c>
      <c r="T33" t="s">
        <v>157</v>
      </c>
      <c r="U33" t="s">
        <v>69</v>
      </c>
      <c r="V33" t="s">
        <v>75</v>
      </c>
      <c r="W33" t="s">
        <v>69</v>
      </c>
      <c r="X33">
        <v>155.15600000000001</v>
      </c>
      <c r="Y33" t="s">
        <v>69</v>
      </c>
      <c r="Z33" t="s">
        <v>69</v>
      </c>
    </row>
    <row r="34" spans="1:26" x14ac:dyDescent="0.25">
      <c r="A34">
        <v>7</v>
      </c>
      <c r="B34" t="str">
        <f>HYPERLINK("http://www.ncbi.nlm.nih.gov/protein/XP_039508468.1","XP_039508468.1")</f>
        <v>XP_039508468.1</v>
      </c>
      <c r="C34">
        <v>96114</v>
      </c>
      <c r="D34" t="str">
        <f>HYPERLINK("http://www.ncbi.nlm.nih.gov/Taxonomy/Browser/wwwtax.cgi?mode=Info&amp;id=90988&amp;lvl=3&amp;lin=f&amp;keep=1&amp;srchmode=1&amp;unlock","90988")</f>
        <v>90988</v>
      </c>
      <c r="E34" t="s">
        <v>113</v>
      </c>
      <c r="F34" t="str">
        <f>HYPERLINK("http://www.ncbi.nlm.nih.gov/Taxonomy/Browser/wwwtax.cgi?mode=Info&amp;id=90988&amp;lvl=3&amp;lin=f&amp;keep=1&amp;srchmode=1&amp;unlock","Pimephales promelas")</f>
        <v>Pimephales promelas</v>
      </c>
      <c r="G34" t="s">
        <v>114</v>
      </c>
      <c r="H34" t="str">
        <f>HYPERLINK("http://www.ncbi.nlm.nih.gov/protein/XP_039508468.1","NF-kappa-B essential modulator isoform X2")</f>
        <v>NF-kappa-B essential modulator isoform X2</v>
      </c>
      <c r="I34" t="s">
        <v>265</v>
      </c>
      <c r="J34" t="s">
        <v>153</v>
      </c>
      <c r="K34">
        <v>383</v>
      </c>
      <c r="L34" t="s">
        <v>72</v>
      </c>
      <c r="M34" t="s">
        <v>69</v>
      </c>
      <c r="N34" t="s">
        <v>71</v>
      </c>
      <c r="O34" t="s">
        <v>69</v>
      </c>
      <c r="P34">
        <v>131.17500000000001</v>
      </c>
      <c r="Q34" t="s">
        <v>69</v>
      </c>
      <c r="R34" t="s">
        <v>69</v>
      </c>
      <c r="S34">
        <v>391</v>
      </c>
      <c r="T34" t="s">
        <v>149</v>
      </c>
      <c r="U34" t="s">
        <v>153</v>
      </c>
      <c r="V34" t="s">
        <v>150</v>
      </c>
      <c r="W34" t="s">
        <v>153</v>
      </c>
      <c r="X34">
        <v>119.119</v>
      </c>
      <c r="Y34" t="s">
        <v>153</v>
      </c>
      <c r="Z34" t="s">
        <v>153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3"/>
  <sheetViews>
    <sheetView workbookViewId="0"/>
  </sheetViews>
  <sheetFormatPr defaultRowHeight="15" x14ac:dyDescent="0.25"/>
  <cols>
    <col min="8" max="8" width="43.5703125" customWidth="1"/>
  </cols>
  <sheetData>
    <row r="1" spans="1:50"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row>
    <row r="2" spans="1:50" x14ac:dyDescent="0.25">
      <c r="A2">
        <v>7</v>
      </c>
      <c r="B2" t="str">
        <f>HYPERLINK("http://www.ncbi.nlm.nih.gov/protein/NP_058633.2","NP_058633.2")</f>
        <v>NP_058633.2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HYPERLINK("http://www.ncbi.nlm.nih.gov/protein/NP_058633.2","DNA polymerase alpha catalytic subunit isoform 2")</f>
        <v>DNA polymerase alpha catalytic subunit isoform 2</v>
      </c>
      <c r="I2" t="s">
        <v>266</v>
      </c>
      <c r="J2" t="s">
        <v>69</v>
      </c>
      <c r="K2">
        <v>610</v>
      </c>
      <c r="L2" t="s">
        <v>119</v>
      </c>
      <c r="M2" t="s">
        <v>69</v>
      </c>
      <c r="N2" t="s">
        <v>120</v>
      </c>
      <c r="O2" t="s">
        <v>69</v>
      </c>
      <c r="P2">
        <v>147.131</v>
      </c>
      <c r="Q2" t="s">
        <v>69</v>
      </c>
      <c r="R2" t="s">
        <v>69</v>
      </c>
      <c r="S2">
        <v>613</v>
      </c>
      <c r="T2" t="s">
        <v>73</v>
      </c>
      <c r="U2" t="s">
        <v>69</v>
      </c>
      <c r="V2" t="s">
        <v>71</v>
      </c>
      <c r="W2" t="s">
        <v>69</v>
      </c>
      <c r="X2">
        <v>89.093999999999994</v>
      </c>
      <c r="Y2" t="s">
        <v>69</v>
      </c>
      <c r="Z2" t="s">
        <v>69</v>
      </c>
      <c r="AA2">
        <v>616</v>
      </c>
      <c r="AB2" t="s">
        <v>74</v>
      </c>
      <c r="AC2" t="s">
        <v>69</v>
      </c>
      <c r="AD2" t="s">
        <v>75</v>
      </c>
      <c r="AE2" t="s">
        <v>69</v>
      </c>
      <c r="AF2">
        <v>174.203</v>
      </c>
      <c r="AG2" t="s">
        <v>69</v>
      </c>
      <c r="AH2" t="s">
        <v>69</v>
      </c>
      <c r="AI2">
        <v>617</v>
      </c>
      <c r="AJ2" t="s">
        <v>149</v>
      </c>
      <c r="AK2" t="s">
        <v>69</v>
      </c>
      <c r="AL2" t="s">
        <v>150</v>
      </c>
      <c r="AM2" t="s">
        <v>69</v>
      </c>
      <c r="AN2">
        <v>119.119</v>
      </c>
      <c r="AO2" t="s">
        <v>69</v>
      </c>
      <c r="AP2" t="s">
        <v>69</v>
      </c>
      <c r="AQ2">
        <v>655</v>
      </c>
      <c r="AR2" t="s">
        <v>76</v>
      </c>
      <c r="AS2" t="s">
        <v>69</v>
      </c>
      <c r="AT2" t="s">
        <v>75</v>
      </c>
      <c r="AU2" t="s">
        <v>69</v>
      </c>
      <c r="AV2">
        <v>146.18899999999999</v>
      </c>
      <c r="AW2" t="s">
        <v>69</v>
      </c>
      <c r="AX2" t="s">
        <v>69</v>
      </c>
    </row>
    <row r="3" spans="1:50" x14ac:dyDescent="0.25">
      <c r="A3">
        <v>7</v>
      </c>
      <c r="B3" t="str">
        <f>HYPERLINK("http://www.ncbi.nlm.nih.gov/protein/XP_030861626.1","XP_030861626.1")</f>
        <v>XP_030861626.1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HYPERLINK("http://www.ncbi.nlm.nih.gov/protein/XP_030861626.1","DNA polymerase alpha catalytic subunit isoform X2")</f>
        <v>DNA polymerase alpha catalytic subunit isoform X2</v>
      </c>
      <c r="I3" t="s">
        <v>266</v>
      </c>
      <c r="J3" t="s">
        <v>69</v>
      </c>
      <c r="K3">
        <v>610</v>
      </c>
      <c r="L3" t="s">
        <v>119</v>
      </c>
      <c r="M3" t="s">
        <v>69</v>
      </c>
      <c r="N3" t="s">
        <v>120</v>
      </c>
      <c r="O3" t="s">
        <v>69</v>
      </c>
      <c r="P3">
        <v>147.131</v>
      </c>
      <c r="Q3" t="s">
        <v>69</v>
      </c>
      <c r="R3" t="s">
        <v>69</v>
      </c>
      <c r="S3">
        <v>613</v>
      </c>
      <c r="T3" t="s">
        <v>73</v>
      </c>
      <c r="U3" t="s">
        <v>69</v>
      </c>
      <c r="V3" t="s">
        <v>71</v>
      </c>
      <c r="W3" t="s">
        <v>69</v>
      </c>
      <c r="X3">
        <v>89.093999999999994</v>
      </c>
      <c r="Y3" t="s">
        <v>69</v>
      </c>
      <c r="Z3" t="s">
        <v>69</v>
      </c>
      <c r="AA3">
        <v>616</v>
      </c>
      <c r="AB3" t="s">
        <v>74</v>
      </c>
      <c r="AC3" t="s">
        <v>69</v>
      </c>
      <c r="AD3" t="s">
        <v>75</v>
      </c>
      <c r="AE3" t="s">
        <v>69</v>
      </c>
      <c r="AF3">
        <v>174.203</v>
      </c>
      <c r="AG3" t="s">
        <v>69</v>
      </c>
      <c r="AH3" t="s">
        <v>69</v>
      </c>
      <c r="AI3">
        <v>617</v>
      </c>
      <c r="AJ3" t="s">
        <v>149</v>
      </c>
      <c r="AK3" t="s">
        <v>69</v>
      </c>
      <c r="AL3" t="s">
        <v>150</v>
      </c>
      <c r="AM3" t="s">
        <v>69</v>
      </c>
      <c r="AN3">
        <v>119.119</v>
      </c>
      <c r="AO3" t="s">
        <v>69</v>
      </c>
      <c r="AP3" t="s">
        <v>69</v>
      </c>
      <c r="AQ3">
        <v>655</v>
      </c>
      <c r="AR3" t="s">
        <v>76</v>
      </c>
      <c r="AS3" t="s">
        <v>69</v>
      </c>
      <c r="AT3" t="s">
        <v>75</v>
      </c>
      <c r="AU3" t="s">
        <v>69</v>
      </c>
      <c r="AV3">
        <v>146.18899999999999</v>
      </c>
      <c r="AW3" t="s">
        <v>69</v>
      </c>
      <c r="AX3" t="s">
        <v>69</v>
      </c>
    </row>
    <row r="4" spans="1:50" x14ac:dyDescent="0.25">
      <c r="A4">
        <v>7</v>
      </c>
      <c r="B4" t="str">
        <f>HYPERLINK("http://www.ncbi.nlm.nih.gov/protein/XP_007989513.1","XP_007989513.1")</f>
        <v>XP_007989513.1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HYPERLINK("http://www.ncbi.nlm.nih.gov/protein/XP_007989513.1","DNA polymerase alpha catalytic subunit isoform X1")</f>
        <v>DNA polymerase alpha catalytic subunit isoform X1</v>
      </c>
      <c r="I4" t="s">
        <v>266</v>
      </c>
      <c r="J4" t="s">
        <v>69</v>
      </c>
      <c r="K4">
        <v>671</v>
      </c>
      <c r="L4" t="s">
        <v>119</v>
      </c>
      <c r="M4" t="s">
        <v>69</v>
      </c>
      <c r="N4" t="s">
        <v>120</v>
      </c>
      <c r="O4" t="s">
        <v>69</v>
      </c>
      <c r="P4">
        <v>147.131</v>
      </c>
      <c r="Q4" t="s">
        <v>69</v>
      </c>
      <c r="R4" t="s">
        <v>69</v>
      </c>
      <c r="S4">
        <v>674</v>
      </c>
      <c r="T4" t="s">
        <v>73</v>
      </c>
      <c r="U4" t="s">
        <v>69</v>
      </c>
      <c r="V4" t="s">
        <v>71</v>
      </c>
      <c r="W4" t="s">
        <v>69</v>
      </c>
      <c r="X4">
        <v>89.093999999999994</v>
      </c>
      <c r="Y4" t="s">
        <v>69</v>
      </c>
      <c r="Z4" t="s">
        <v>69</v>
      </c>
      <c r="AA4">
        <v>677</v>
      </c>
      <c r="AB4" t="s">
        <v>74</v>
      </c>
      <c r="AC4" t="s">
        <v>69</v>
      </c>
      <c r="AD4" t="s">
        <v>75</v>
      </c>
      <c r="AE4" t="s">
        <v>69</v>
      </c>
      <c r="AF4">
        <v>174.203</v>
      </c>
      <c r="AG4" t="s">
        <v>69</v>
      </c>
      <c r="AH4" t="s">
        <v>69</v>
      </c>
      <c r="AI4">
        <v>678</v>
      </c>
      <c r="AJ4" t="s">
        <v>149</v>
      </c>
      <c r="AK4" t="s">
        <v>69</v>
      </c>
      <c r="AL4" t="s">
        <v>150</v>
      </c>
      <c r="AM4" t="s">
        <v>69</v>
      </c>
      <c r="AN4">
        <v>119.119</v>
      </c>
      <c r="AO4" t="s">
        <v>69</v>
      </c>
      <c r="AP4" t="s">
        <v>69</v>
      </c>
      <c r="AQ4">
        <v>716</v>
      </c>
      <c r="AR4" t="s">
        <v>76</v>
      </c>
      <c r="AS4" t="s">
        <v>69</v>
      </c>
      <c r="AT4" t="s">
        <v>75</v>
      </c>
      <c r="AU4" t="s">
        <v>69</v>
      </c>
      <c r="AV4">
        <v>146.18899999999999</v>
      </c>
      <c r="AW4" t="s">
        <v>69</v>
      </c>
      <c r="AX4" t="s">
        <v>69</v>
      </c>
    </row>
    <row r="5" spans="1:50" x14ac:dyDescent="0.25">
      <c r="A5">
        <v>7</v>
      </c>
      <c r="B5" t="str">
        <f>HYPERLINK("http://www.ncbi.nlm.nih.gov/protein/EHH30599.1","EHH30599.1")</f>
        <v>EHH30599.1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HYPERLINK("http://www.ncbi.nlm.nih.gov/protein/EHH30599.1","hypothetical protein EGK_20335")</f>
        <v>hypothetical protein EGK_20335</v>
      </c>
      <c r="I5" t="s">
        <v>266</v>
      </c>
      <c r="J5" t="s">
        <v>69</v>
      </c>
      <c r="K5">
        <v>616</v>
      </c>
      <c r="L5" t="s">
        <v>119</v>
      </c>
      <c r="M5" t="s">
        <v>69</v>
      </c>
      <c r="N5" t="s">
        <v>120</v>
      </c>
      <c r="O5" t="s">
        <v>69</v>
      </c>
      <c r="P5">
        <v>147.131</v>
      </c>
      <c r="Q5" t="s">
        <v>69</v>
      </c>
      <c r="R5" t="s">
        <v>69</v>
      </c>
      <c r="S5">
        <v>619</v>
      </c>
      <c r="T5" t="s">
        <v>73</v>
      </c>
      <c r="U5" t="s">
        <v>69</v>
      </c>
      <c r="V5" t="s">
        <v>71</v>
      </c>
      <c r="W5" t="s">
        <v>69</v>
      </c>
      <c r="X5">
        <v>89.093999999999994</v>
      </c>
      <c r="Y5" t="s">
        <v>69</v>
      </c>
      <c r="Z5" t="s">
        <v>69</v>
      </c>
      <c r="AA5">
        <v>622</v>
      </c>
      <c r="AB5" t="s">
        <v>74</v>
      </c>
      <c r="AC5" t="s">
        <v>69</v>
      </c>
      <c r="AD5" t="s">
        <v>75</v>
      </c>
      <c r="AE5" t="s">
        <v>69</v>
      </c>
      <c r="AF5">
        <v>174.203</v>
      </c>
      <c r="AG5" t="s">
        <v>69</v>
      </c>
      <c r="AH5" t="s">
        <v>69</v>
      </c>
      <c r="AI5">
        <v>623</v>
      </c>
      <c r="AJ5" t="s">
        <v>149</v>
      </c>
      <c r="AK5" t="s">
        <v>69</v>
      </c>
      <c r="AL5" t="s">
        <v>150</v>
      </c>
      <c r="AM5" t="s">
        <v>69</v>
      </c>
      <c r="AN5">
        <v>119.119</v>
      </c>
      <c r="AO5" t="s">
        <v>69</v>
      </c>
      <c r="AP5" t="s">
        <v>69</v>
      </c>
      <c r="AQ5">
        <v>661</v>
      </c>
      <c r="AR5" t="s">
        <v>76</v>
      </c>
      <c r="AS5" t="s">
        <v>69</v>
      </c>
      <c r="AT5" t="s">
        <v>75</v>
      </c>
      <c r="AU5" t="s">
        <v>69</v>
      </c>
      <c r="AV5">
        <v>146.18899999999999</v>
      </c>
      <c r="AW5" t="s">
        <v>69</v>
      </c>
      <c r="AX5" t="s">
        <v>69</v>
      </c>
    </row>
    <row r="6" spans="1:50" x14ac:dyDescent="0.25">
      <c r="A6">
        <v>7</v>
      </c>
      <c r="B6" t="str">
        <f>HYPERLINK("http://www.ncbi.nlm.nih.gov/protein/XP_003917565.1","XP_003917565.1")</f>
        <v>XP_003917565.1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HYPERLINK("http://www.ncbi.nlm.nih.gov/protein/XP_003917565.1","DNA polymerase alpha catalytic subunit")</f>
        <v>DNA polymerase alpha catalytic subunit</v>
      </c>
      <c r="I6" t="s">
        <v>266</v>
      </c>
      <c r="J6" t="s">
        <v>69</v>
      </c>
      <c r="K6">
        <v>613</v>
      </c>
      <c r="L6" t="s">
        <v>119</v>
      </c>
      <c r="M6" t="s">
        <v>69</v>
      </c>
      <c r="N6" t="s">
        <v>120</v>
      </c>
      <c r="O6" t="s">
        <v>69</v>
      </c>
      <c r="P6">
        <v>147.131</v>
      </c>
      <c r="Q6" t="s">
        <v>69</v>
      </c>
      <c r="R6" t="s">
        <v>69</v>
      </c>
      <c r="S6">
        <v>616</v>
      </c>
      <c r="T6" t="s">
        <v>73</v>
      </c>
      <c r="U6" t="s">
        <v>69</v>
      </c>
      <c r="V6" t="s">
        <v>71</v>
      </c>
      <c r="W6" t="s">
        <v>69</v>
      </c>
      <c r="X6">
        <v>89.093999999999994</v>
      </c>
      <c r="Y6" t="s">
        <v>69</v>
      </c>
      <c r="Z6" t="s">
        <v>69</v>
      </c>
      <c r="AA6">
        <v>619</v>
      </c>
      <c r="AB6" t="s">
        <v>74</v>
      </c>
      <c r="AC6" t="s">
        <v>69</v>
      </c>
      <c r="AD6" t="s">
        <v>75</v>
      </c>
      <c r="AE6" t="s">
        <v>69</v>
      </c>
      <c r="AF6">
        <v>174.203</v>
      </c>
      <c r="AG6" t="s">
        <v>69</v>
      </c>
      <c r="AH6" t="s">
        <v>69</v>
      </c>
      <c r="AI6">
        <v>620</v>
      </c>
      <c r="AJ6" t="s">
        <v>149</v>
      </c>
      <c r="AK6" t="s">
        <v>69</v>
      </c>
      <c r="AL6" t="s">
        <v>150</v>
      </c>
      <c r="AM6" t="s">
        <v>69</v>
      </c>
      <c r="AN6">
        <v>119.119</v>
      </c>
      <c r="AO6" t="s">
        <v>69</v>
      </c>
      <c r="AP6" t="s">
        <v>69</v>
      </c>
      <c r="AQ6">
        <v>658</v>
      </c>
      <c r="AR6" t="s">
        <v>76</v>
      </c>
      <c r="AS6" t="s">
        <v>69</v>
      </c>
      <c r="AT6" t="s">
        <v>75</v>
      </c>
      <c r="AU6" t="s">
        <v>69</v>
      </c>
      <c r="AV6">
        <v>146.18899999999999</v>
      </c>
      <c r="AW6" t="s">
        <v>69</v>
      </c>
      <c r="AX6" t="s">
        <v>69</v>
      </c>
    </row>
    <row r="7" spans="1:50" x14ac:dyDescent="0.25">
      <c r="A7">
        <v>7</v>
      </c>
      <c r="B7" t="str">
        <f>HYPERLINK("http://www.ncbi.nlm.nih.gov/protein/XP_002762781.2","XP_002762781.2")</f>
        <v>XP_002762781.2</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HYPERLINK("http://www.ncbi.nlm.nih.gov/protein/XP_002762781.2","DNA polymerase alpha catalytic subunit isoform X2")</f>
        <v>DNA polymerase alpha catalytic subunit isoform X2</v>
      </c>
      <c r="I7" t="s">
        <v>266</v>
      </c>
      <c r="J7" t="s">
        <v>69</v>
      </c>
      <c r="K7">
        <v>610</v>
      </c>
      <c r="L7" t="s">
        <v>119</v>
      </c>
      <c r="M7" t="s">
        <v>69</v>
      </c>
      <c r="N7" t="s">
        <v>120</v>
      </c>
      <c r="O7" t="s">
        <v>69</v>
      </c>
      <c r="P7">
        <v>147.131</v>
      </c>
      <c r="Q7" t="s">
        <v>69</v>
      </c>
      <c r="R7" t="s">
        <v>69</v>
      </c>
      <c r="S7">
        <v>613</v>
      </c>
      <c r="T7" t="s">
        <v>73</v>
      </c>
      <c r="U7" t="s">
        <v>69</v>
      </c>
      <c r="V7" t="s">
        <v>71</v>
      </c>
      <c r="W7" t="s">
        <v>69</v>
      </c>
      <c r="X7">
        <v>89.093999999999994</v>
      </c>
      <c r="Y7" t="s">
        <v>69</v>
      </c>
      <c r="Z7" t="s">
        <v>69</v>
      </c>
      <c r="AA7">
        <v>616</v>
      </c>
      <c r="AB7" t="s">
        <v>74</v>
      </c>
      <c r="AC7" t="s">
        <v>69</v>
      </c>
      <c r="AD7" t="s">
        <v>75</v>
      </c>
      <c r="AE7" t="s">
        <v>69</v>
      </c>
      <c r="AF7">
        <v>174.203</v>
      </c>
      <c r="AG7" t="s">
        <v>69</v>
      </c>
      <c r="AH7" t="s">
        <v>69</v>
      </c>
      <c r="AI7">
        <v>617</v>
      </c>
      <c r="AJ7" t="s">
        <v>149</v>
      </c>
      <c r="AK7" t="s">
        <v>69</v>
      </c>
      <c r="AL7" t="s">
        <v>150</v>
      </c>
      <c r="AM7" t="s">
        <v>69</v>
      </c>
      <c r="AN7">
        <v>119.119</v>
      </c>
      <c r="AO7" t="s">
        <v>69</v>
      </c>
      <c r="AP7" t="s">
        <v>69</v>
      </c>
      <c r="AQ7">
        <v>655</v>
      </c>
      <c r="AR7" t="s">
        <v>76</v>
      </c>
      <c r="AS7" t="s">
        <v>69</v>
      </c>
      <c r="AT7" t="s">
        <v>75</v>
      </c>
      <c r="AU7" t="s">
        <v>69</v>
      </c>
      <c r="AV7">
        <v>146.18899999999999</v>
      </c>
      <c r="AW7" t="s">
        <v>69</v>
      </c>
      <c r="AX7" t="s">
        <v>69</v>
      </c>
    </row>
    <row r="8" spans="1:50" x14ac:dyDescent="0.25">
      <c r="A8">
        <v>7</v>
      </c>
      <c r="B8" t="str">
        <f>HYPERLINK("http://www.ncbi.nlm.nih.gov/protein/XP_025853213.1","XP_025853213.1")</f>
        <v>XP_025853213.1</v>
      </c>
      <c r="C8">
        <v>38435</v>
      </c>
      <c r="D8" t="str">
        <f>HYPERLINK("http://www.ncbi.nlm.nih.gov/Taxonomy/Browser/wwwtax.cgi?mode=Info&amp;id=9627&amp;lvl=3&amp;lin=f&amp;keep=1&amp;srchmode=1&amp;unlock","9627")</f>
        <v>9627</v>
      </c>
      <c r="E8" t="s">
        <v>66</v>
      </c>
      <c r="F8" t="str">
        <f>HYPERLINK("http://www.ncbi.nlm.nih.gov/Taxonomy/Browser/wwwtax.cgi?mode=Info&amp;id=9627&amp;lvl=3&amp;lin=f&amp;keep=1&amp;srchmode=1&amp;unlock","Vulpes vulpes")</f>
        <v>Vulpes vulpes</v>
      </c>
      <c r="G8" t="s">
        <v>95</v>
      </c>
      <c r="H8" t="str">
        <f>HYPERLINK("http://www.ncbi.nlm.nih.gov/protein/XP_025853213.1","DNA polymerase alpha catalytic subunit isoform X1")</f>
        <v>DNA polymerase alpha catalytic subunit isoform X1</v>
      </c>
      <c r="I8" t="s">
        <v>266</v>
      </c>
      <c r="J8" t="s">
        <v>69</v>
      </c>
      <c r="K8">
        <v>616</v>
      </c>
      <c r="L8" t="s">
        <v>119</v>
      </c>
      <c r="M8" t="s">
        <v>69</v>
      </c>
      <c r="N8" t="s">
        <v>120</v>
      </c>
      <c r="O8" t="s">
        <v>69</v>
      </c>
      <c r="P8">
        <v>147.131</v>
      </c>
      <c r="Q8" t="s">
        <v>69</v>
      </c>
      <c r="R8" t="s">
        <v>69</v>
      </c>
      <c r="S8">
        <v>619</v>
      </c>
      <c r="T8" t="s">
        <v>73</v>
      </c>
      <c r="U8" t="s">
        <v>69</v>
      </c>
      <c r="V8" t="s">
        <v>71</v>
      </c>
      <c r="W8" t="s">
        <v>69</v>
      </c>
      <c r="X8">
        <v>89.093999999999994</v>
      </c>
      <c r="Y8" t="s">
        <v>69</v>
      </c>
      <c r="Z8" t="s">
        <v>69</v>
      </c>
      <c r="AA8">
        <v>622</v>
      </c>
      <c r="AB8" t="s">
        <v>74</v>
      </c>
      <c r="AC8" t="s">
        <v>69</v>
      </c>
      <c r="AD8" t="s">
        <v>75</v>
      </c>
      <c r="AE8" t="s">
        <v>69</v>
      </c>
      <c r="AF8">
        <v>174.203</v>
      </c>
      <c r="AG8" t="s">
        <v>69</v>
      </c>
      <c r="AH8" t="s">
        <v>69</v>
      </c>
      <c r="AI8">
        <v>623</v>
      </c>
      <c r="AJ8" t="s">
        <v>149</v>
      </c>
      <c r="AK8" t="s">
        <v>69</v>
      </c>
      <c r="AL8" t="s">
        <v>150</v>
      </c>
      <c r="AM8" t="s">
        <v>69</v>
      </c>
      <c r="AN8">
        <v>119.119</v>
      </c>
      <c r="AO8" t="s">
        <v>69</v>
      </c>
      <c r="AP8" t="s">
        <v>69</v>
      </c>
      <c r="AQ8">
        <v>661</v>
      </c>
      <c r="AR8" t="s">
        <v>76</v>
      </c>
      <c r="AS8" t="s">
        <v>69</v>
      </c>
      <c r="AT8" t="s">
        <v>75</v>
      </c>
      <c r="AU8" t="s">
        <v>69</v>
      </c>
      <c r="AV8">
        <v>146.18899999999999</v>
      </c>
      <c r="AW8" t="s">
        <v>69</v>
      </c>
      <c r="AX8" t="s">
        <v>69</v>
      </c>
    </row>
    <row r="9" spans="1:50" x14ac:dyDescent="0.25">
      <c r="A9">
        <v>7</v>
      </c>
      <c r="B9" t="str">
        <f>HYPERLINK("http://www.ncbi.nlm.nih.gov/protein/XP_047392572.1","XP_047392572.1")</f>
        <v>XP_047392572.1</v>
      </c>
      <c r="C9">
        <v>74939</v>
      </c>
      <c r="D9" t="str">
        <f>HYPERLINK("http://www.ncbi.nlm.nih.gov/Taxonomy/Browser/wwwtax.cgi?mode=Info&amp;id=30640&amp;lvl=3&amp;lin=f&amp;keep=1&amp;srchmode=1&amp;unlock","30640")</f>
        <v>30640</v>
      </c>
      <c r="E9" t="s">
        <v>66</v>
      </c>
      <c r="F9" t="str">
        <f>HYPERLINK("http://www.ncbi.nlm.nih.gov/Taxonomy/Browser/wwwtax.cgi?mode=Info&amp;id=30640&amp;lvl=3&amp;lin=f&amp;keep=1&amp;srchmode=1&amp;unlock","Neosciurus carolinensis")</f>
        <v>Neosciurus carolinensis</v>
      </c>
      <c r="G9" t="s">
        <v>101</v>
      </c>
      <c r="H9" t="str">
        <f>HYPERLINK("http://www.ncbi.nlm.nih.gov/protein/XP_047392572.1","DNA polymerase alpha catalytic subunit isoform X1")</f>
        <v>DNA polymerase alpha catalytic subunit isoform X1</v>
      </c>
      <c r="I9" t="s">
        <v>266</v>
      </c>
      <c r="J9" t="s">
        <v>153</v>
      </c>
      <c r="K9">
        <v>613</v>
      </c>
      <c r="L9" t="s">
        <v>119</v>
      </c>
      <c r="M9" t="s">
        <v>69</v>
      </c>
      <c r="N9" t="s">
        <v>120</v>
      </c>
      <c r="O9" t="s">
        <v>69</v>
      </c>
      <c r="P9">
        <v>147.131</v>
      </c>
      <c r="Q9" t="s">
        <v>69</v>
      </c>
      <c r="R9" t="s">
        <v>69</v>
      </c>
      <c r="S9">
        <v>616</v>
      </c>
      <c r="T9" t="s">
        <v>149</v>
      </c>
      <c r="U9" t="s">
        <v>153</v>
      </c>
      <c r="V9" t="s">
        <v>150</v>
      </c>
      <c r="W9" t="s">
        <v>153</v>
      </c>
      <c r="X9">
        <v>119.119</v>
      </c>
      <c r="Y9" t="s">
        <v>153</v>
      </c>
      <c r="Z9" t="s">
        <v>153</v>
      </c>
      <c r="AA9">
        <v>619</v>
      </c>
      <c r="AB9" t="s">
        <v>74</v>
      </c>
      <c r="AC9" t="s">
        <v>69</v>
      </c>
      <c r="AD9" t="s">
        <v>75</v>
      </c>
      <c r="AE9" t="s">
        <v>69</v>
      </c>
      <c r="AF9">
        <v>174.203</v>
      </c>
      <c r="AG9" t="s">
        <v>69</v>
      </c>
      <c r="AH9" t="s">
        <v>69</v>
      </c>
      <c r="AI9">
        <v>620</v>
      </c>
      <c r="AJ9" t="s">
        <v>149</v>
      </c>
      <c r="AK9" t="s">
        <v>69</v>
      </c>
      <c r="AL9" t="s">
        <v>150</v>
      </c>
      <c r="AM9" t="s">
        <v>69</v>
      </c>
      <c r="AN9">
        <v>119.119</v>
      </c>
      <c r="AO9" t="s">
        <v>69</v>
      </c>
      <c r="AP9" t="s">
        <v>69</v>
      </c>
      <c r="AQ9">
        <v>658</v>
      </c>
      <c r="AR9" t="s">
        <v>76</v>
      </c>
      <c r="AS9" t="s">
        <v>69</v>
      </c>
      <c r="AT9" t="s">
        <v>75</v>
      </c>
      <c r="AU9" t="s">
        <v>69</v>
      </c>
      <c r="AV9">
        <v>146.18899999999999</v>
      </c>
      <c r="AW9" t="s">
        <v>69</v>
      </c>
      <c r="AX9" t="s">
        <v>69</v>
      </c>
    </row>
    <row r="10" spans="1:50" x14ac:dyDescent="0.25">
      <c r="A10">
        <v>7</v>
      </c>
      <c r="B10" t="str">
        <f>HYPERLINK("http://www.ncbi.nlm.nih.gov/protein/XP_038305620.1","XP_038305620.1")</f>
        <v>XP_038305620.1</v>
      </c>
      <c r="C10">
        <v>136357</v>
      </c>
      <c r="D10" t="str">
        <f>HYPERLINK("http://www.ncbi.nlm.nih.gov/Taxonomy/Browser/wwwtax.cgi?mode=Info&amp;id=9615&amp;lvl=3&amp;lin=f&amp;keep=1&amp;srchmode=1&amp;unlock","9615")</f>
        <v>9615</v>
      </c>
      <c r="E10" t="s">
        <v>66</v>
      </c>
      <c r="F10" t="str">
        <f>HYPERLINK("http://www.ncbi.nlm.nih.gov/Taxonomy/Browser/wwwtax.cgi?mode=Info&amp;id=9615&amp;lvl=3&amp;lin=f&amp;keep=1&amp;srchmode=1&amp;unlock","Canis lupus familiaris")</f>
        <v>Canis lupus familiaris</v>
      </c>
      <c r="G10" t="s">
        <v>84</v>
      </c>
      <c r="H10" t="str">
        <f>HYPERLINK("http://www.ncbi.nlm.nih.gov/protein/XP_038305620.1","DNA polymerase alpha catalytic subunit")</f>
        <v>DNA polymerase alpha catalytic subunit</v>
      </c>
      <c r="I10" t="s">
        <v>266</v>
      </c>
      <c r="J10" t="s">
        <v>69</v>
      </c>
      <c r="K10">
        <v>616</v>
      </c>
      <c r="L10" t="s">
        <v>119</v>
      </c>
      <c r="M10" t="s">
        <v>69</v>
      </c>
      <c r="N10" t="s">
        <v>120</v>
      </c>
      <c r="O10" t="s">
        <v>69</v>
      </c>
      <c r="P10">
        <v>147.131</v>
      </c>
      <c r="Q10" t="s">
        <v>69</v>
      </c>
      <c r="R10" t="s">
        <v>69</v>
      </c>
      <c r="S10">
        <v>619</v>
      </c>
      <c r="T10" t="s">
        <v>73</v>
      </c>
      <c r="U10" t="s">
        <v>69</v>
      </c>
      <c r="V10" t="s">
        <v>71</v>
      </c>
      <c r="W10" t="s">
        <v>69</v>
      </c>
      <c r="X10">
        <v>89.093999999999994</v>
      </c>
      <c r="Y10" t="s">
        <v>69</v>
      </c>
      <c r="Z10" t="s">
        <v>69</v>
      </c>
      <c r="AA10">
        <v>622</v>
      </c>
      <c r="AB10" t="s">
        <v>74</v>
      </c>
      <c r="AC10" t="s">
        <v>69</v>
      </c>
      <c r="AD10" t="s">
        <v>75</v>
      </c>
      <c r="AE10" t="s">
        <v>69</v>
      </c>
      <c r="AF10">
        <v>174.203</v>
      </c>
      <c r="AG10" t="s">
        <v>69</v>
      </c>
      <c r="AH10" t="s">
        <v>69</v>
      </c>
      <c r="AI10">
        <v>623</v>
      </c>
      <c r="AJ10" t="s">
        <v>149</v>
      </c>
      <c r="AK10" t="s">
        <v>69</v>
      </c>
      <c r="AL10" t="s">
        <v>150</v>
      </c>
      <c r="AM10" t="s">
        <v>69</v>
      </c>
      <c r="AN10">
        <v>119.119</v>
      </c>
      <c r="AO10" t="s">
        <v>69</v>
      </c>
      <c r="AP10" t="s">
        <v>69</v>
      </c>
      <c r="AQ10">
        <v>661</v>
      </c>
      <c r="AR10" t="s">
        <v>76</v>
      </c>
      <c r="AS10" t="s">
        <v>69</v>
      </c>
      <c r="AT10" t="s">
        <v>75</v>
      </c>
      <c r="AU10" t="s">
        <v>69</v>
      </c>
      <c r="AV10">
        <v>146.18899999999999</v>
      </c>
      <c r="AW10" t="s">
        <v>69</v>
      </c>
      <c r="AX10" t="s">
        <v>69</v>
      </c>
    </row>
    <row r="11" spans="1:50" x14ac:dyDescent="0.25">
      <c r="A11">
        <v>7</v>
      </c>
      <c r="B11" t="str">
        <f>HYPERLINK("http://www.ncbi.nlm.nih.gov/protein/XP_045851965.1","XP_045851965.1")</f>
        <v>XP_045851965.1</v>
      </c>
      <c r="C11">
        <v>50752</v>
      </c>
      <c r="D11" t="str">
        <f>HYPERLINK("http://www.ncbi.nlm.nih.gov/Taxonomy/Browser/wwwtax.cgi?mode=Info&amp;id=9662&amp;lvl=3&amp;lin=f&amp;keep=1&amp;srchmode=1&amp;unlock","9662")</f>
        <v>9662</v>
      </c>
      <c r="E11" t="s">
        <v>66</v>
      </c>
      <c r="F11" t="str">
        <f>HYPERLINK("http://www.ncbi.nlm.nih.gov/Taxonomy/Browser/wwwtax.cgi?mode=Info&amp;id=9662&amp;lvl=3&amp;lin=f&amp;keep=1&amp;srchmode=1&amp;unlock","Meles meles")</f>
        <v>Meles meles</v>
      </c>
      <c r="G11" t="s">
        <v>99</v>
      </c>
      <c r="H11" t="str">
        <f>HYPERLINK("http://www.ncbi.nlm.nih.gov/protein/XP_045851965.1","DNA polymerase alpha catalytic subunit")</f>
        <v>DNA polymerase alpha catalytic subunit</v>
      </c>
      <c r="I11" t="s">
        <v>266</v>
      </c>
      <c r="J11" t="s">
        <v>69</v>
      </c>
      <c r="K11">
        <v>616</v>
      </c>
      <c r="L11" t="s">
        <v>119</v>
      </c>
      <c r="M11" t="s">
        <v>69</v>
      </c>
      <c r="N11" t="s">
        <v>120</v>
      </c>
      <c r="O11" t="s">
        <v>69</v>
      </c>
      <c r="P11">
        <v>147.131</v>
      </c>
      <c r="Q11" t="s">
        <v>69</v>
      </c>
      <c r="R11" t="s">
        <v>69</v>
      </c>
      <c r="S11">
        <v>619</v>
      </c>
      <c r="T11" t="s">
        <v>73</v>
      </c>
      <c r="U11" t="s">
        <v>69</v>
      </c>
      <c r="V11" t="s">
        <v>71</v>
      </c>
      <c r="W11" t="s">
        <v>69</v>
      </c>
      <c r="X11">
        <v>89.093999999999994</v>
      </c>
      <c r="Y11" t="s">
        <v>69</v>
      </c>
      <c r="Z11" t="s">
        <v>69</v>
      </c>
      <c r="AA11">
        <v>622</v>
      </c>
      <c r="AB11" t="s">
        <v>74</v>
      </c>
      <c r="AC11" t="s">
        <v>69</v>
      </c>
      <c r="AD11" t="s">
        <v>75</v>
      </c>
      <c r="AE11" t="s">
        <v>69</v>
      </c>
      <c r="AF11">
        <v>174.203</v>
      </c>
      <c r="AG11" t="s">
        <v>69</v>
      </c>
      <c r="AH11" t="s">
        <v>69</v>
      </c>
      <c r="AI11">
        <v>623</v>
      </c>
      <c r="AJ11" t="s">
        <v>149</v>
      </c>
      <c r="AK11" t="s">
        <v>69</v>
      </c>
      <c r="AL11" t="s">
        <v>150</v>
      </c>
      <c r="AM11" t="s">
        <v>69</v>
      </c>
      <c r="AN11">
        <v>119.119</v>
      </c>
      <c r="AO11" t="s">
        <v>69</v>
      </c>
      <c r="AP11" t="s">
        <v>69</v>
      </c>
      <c r="AQ11">
        <v>661</v>
      </c>
      <c r="AR11" t="s">
        <v>76</v>
      </c>
      <c r="AS11" t="s">
        <v>69</v>
      </c>
      <c r="AT11" t="s">
        <v>75</v>
      </c>
      <c r="AU11" t="s">
        <v>69</v>
      </c>
      <c r="AV11">
        <v>146.18899999999999</v>
      </c>
      <c r="AW11" t="s">
        <v>69</v>
      </c>
      <c r="AX11" t="s">
        <v>69</v>
      </c>
    </row>
    <row r="12" spans="1:50" x14ac:dyDescent="0.25">
      <c r="A12">
        <v>7</v>
      </c>
      <c r="B12" t="str">
        <f>HYPERLINK("http://www.ncbi.nlm.nih.gov/protein/XP_025790274.1","XP_025790274.1")</f>
        <v>XP_025790274.1</v>
      </c>
      <c r="C12">
        <v>23623</v>
      </c>
      <c r="D12" t="str">
        <f>HYPERLINK("http://www.ncbi.nlm.nih.gov/Taxonomy/Browser/wwwtax.cgi?mode=Info&amp;id=9696&amp;lvl=3&amp;lin=f&amp;keep=1&amp;srchmode=1&amp;unlock","9696")</f>
        <v>9696</v>
      </c>
      <c r="E12" t="s">
        <v>66</v>
      </c>
      <c r="F12" t="str">
        <f>HYPERLINK("http://www.ncbi.nlm.nih.gov/Taxonomy/Browser/wwwtax.cgi?mode=Info&amp;id=9696&amp;lvl=3&amp;lin=f&amp;keep=1&amp;srchmode=1&amp;unlock","Puma concolor")</f>
        <v>Puma concolor</v>
      </c>
      <c r="G12" t="s">
        <v>91</v>
      </c>
      <c r="H12" t="str">
        <f>HYPERLINK("http://www.ncbi.nlm.nih.gov/protein/XP_025790274.1","DNA polymerase alpha catalytic subunit isoform X2")</f>
        <v>DNA polymerase alpha catalytic subunit isoform X2</v>
      </c>
      <c r="I12" t="s">
        <v>266</v>
      </c>
      <c r="J12" t="s">
        <v>69</v>
      </c>
      <c r="K12">
        <v>610</v>
      </c>
      <c r="L12" t="s">
        <v>119</v>
      </c>
      <c r="M12" t="s">
        <v>69</v>
      </c>
      <c r="N12" t="s">
        <v>120</v>
      </c>
      <c r="O12" t="s">
        <v>69</v>
      </c>
      <c r="P12">
        <v>147.131</v>
      </c>
      <c r="Q12" t="s">
        <v>69</v>
      </c>
      <c r="R12" t="s">
        <v>69</v>
      </c>
      <c r="S12">
        <v>613</v>
      </c>
      <c r="T12" t="s">
        <v>73</v>
      </c>
      <c r="U12" t="s">
        <v>69</v>
      </c>
      <c r="V12" t="s">
        <v>71</v>
      </c>
      <c r="W12" t="s">
        <v>69</v>
      </c>
      <c r="X12">
        <v>89.093999999999994</v>
      </c>
      <c r="Y12" t="s">
        <v>69</v>
      </c>
      <c r="Z12" t="s">
        <v>69</v>
      </c>
      <c r="AA12">
        <v>616</v>
      </c>
      <c r="AB12" t="s">
        <v>74</v>
      </c>
      <c r="AC12" t="s">
        <v>69</v>
      </c>
      <c r="AD12" t="s">
        <v>75</v>
      </c>
      <c r="AE12" t="s">
        <v>69</v>
      </c>
      <c r="AF12">
        <v>174.203</v>
      </c>
      <c r="AG12" t="s">
        <v>69</v>
      </c>
      <c r="AH12" t="s">
        <v>69</v>
      </c>
      <c r="AI12">
        <v>617</v>
      </c>
      <c r="AJ12" t="s">
        <v>149</v>
      </c>
      <c r="AK12" t="s">
        <v>69</v>
      </c>
      <c r="AL12" t="s">
        <v>150</v>
      </c>
      <c r="AM12" t="s">
        <v>69</v>
      </c>
      <c r="AN12">
        <v>119.119</v>
      </c>
      <c r="AO12" t="s">
        <v>69</v>
      </c>
      <c r="AP12" t="s">
        <v>69</v>
      </c>
      <c r="AQ12">
        <v>655</v>
      </c>
      <c r="AR12" t="s">
        <v>76</v>
      </c>
      <c r="AS12" t="s">
        <v>69</v>
      </c>
      <c r="AT12" t="s">
        <v>75</v>
      </c>
      <c r="AU12" t="s">
        <v>69</v>
      </c>
      <c r="AV12">
        <v>146.18899999999999</v>
      </c>
      <c r="AW12" t="s">
        <v>69</v>
      </c>
      <c r="AX12" t="s">
        <v>69</v>
      </c>
    </row>
    <row r="13" spans="1:50" x14ac:dyDescent="0.25">
      <c r="A13">
        <v>7</v>
      </c>
      <c r="B13" t="str">
        <f>HYPERLINK("http://www.ncbi.nlm.nih.gov/protein/XP_027631521.1","XP_027631521.1")</f>
        <v>XP_027631521.1</v>
      </c>
      <c r="C13">
        <v>59507</v>
      </c>
      <c r="D13" t="str">
        <f>HYPERLINK("http://www.ncbi.nlm.nih.gov/Taxonomy/Browser/wwwtax.cgi?mode=Info&amp;id=246437&amp;lvl=3&amp;lin=f&amp;keep=1&amp;srchmode=1&amp;unlock","246437")</f>
        <v>246437</v>
      </c>
      <c r="E13" t="s">
        <v>66</v>
      </c>
      <c r="F13" t="str">
        <f>HYPERLINK("http://www.ncbi.nlm.nih.gov/Taxonomy/Browser/wwwtax.cgi?mode=Info&amp;id=246437&amp;lvl=3&amp;lin=f&amp;keep=1&amp;srchmode=1&amp;unlock","Tupaia chinensis")</f>
        <v>Tupaia chinensis</v>
      </c>
      <c r="G13" t="s">
        <v>97</v>
      </c>
      <c r="H13" t="str">
        <f>HYPERLINK("http://www.ncbi.nlm.nih.gov/protein/XP_027631521.1","DNA polymerase alpha catalytic subunit isoform X1")</f>
        <v>DNA polymerase alpha catalytic subunit isoform X1</v>
      </c>
      <c r="I13" t="s">
        <v>266</v>
      </c>
      <c r="J13" t="s">
        <v>69</v>
      </c>
      <c r="K13">
        <v>613</v>
      </c>
      <c r="L13" t="s">
        <v>119</v>
      </c>
      <c r="M13" t="s">
        <v>69</v>
      </c>
      <c r="N13" t="s">
        <v>120</v>
      </c>
      <c r="O13" t="s">
        <v>69</v>
      </c>
      <c r="P13">
        <v>147.131</v>
      </c>
      <c r="Q13" t="s">
        <v>69</v>
      </c>
      <c r="R13" t="s">
        <v>69</v>
      </c>
      <c r="S13">
        <v>616</v>
      </c>
      <c r="T13" t="s">
        <v>73</v>
      </c>
      <c r="U13" t="s">
        <v>69</v>
      </c>
      <c r="V13" t="s">
        <v>71</v>
      </c>
      <c r="W13" t="s">
        <v>69</v>
      </c>
      <c r="X13">
        <v>89.093999999999994</v>
      </c>
      <c r="Y13" t="s">
        <v>69</v>
      </c>
      <c r="Z13" t="s">
        <v>69</v>
      </c>
      <c r="AA13">
        <v>619</v>
      </c>
      <c r="AB13" t="s">
        <v>74</v>
      </c>
      <c r="AC13" t="s">
        <v>69</v>
      </c>
      <c r="AD13" t="s">
        <v>75</v>
      </c>
      <c r="AE13" t="s">
        <v>69</v>
      </c>
      <c r="AF13">
        <v>174.203</v>
      </c>
      <c r="AG13" t="s">
        <v>69</v>
      </c>
      <c r="AH13" t="s">
        <v>69</v>
      </c>
      <c r="AI13">
        <v>620</v>
      </c>
      <c r="AJ13" t="s">
        <v>149</v>
      </c>
      <c r="AK13" t="s">
        <v>69</v>
      </c>
      <c r="AL13" t="s">
        <v>150</v>
      </c>
      <c r="AM13" t="s">
        <v>69</v>
      </c>
      <c r="AN13">
        <v>119.119</v>
      </c>
      <c r="AO13" t="s">
        <v>69</v>
      </c>
      <c r="AP13" t="s">
        <v>69</v>
      </c>
      <c r="AQ13">
        <v>658</v>
      </c>
      <c r="AR13" t="s">
        <v>76</v>
      </c>
      <c r="AS13" t="s">
        <v>69</v>
      </c>
      <c r="AT13" t="s">
        <v>75</v>
      </c>
      <c r="AU13" t="s">
        <v>69</v>
      </c>
      <c r="AV13">
        <v>146.18899999999999</v>
      </c>
      <c r="AW13" t="s">
        <v>69</v>
      </c>
      <c r="AX13" t="s">
        <v>69</v>
      </c>
    </row>
    <row r="14" spans="1:50" x14ac:dyDescent="0.25">
      <c r="A14">
        <v>7</v>
      </c>
      <c r="B14" t="str">
        <f>HYPERLINK("http://www.ncbi.nlm.nih.gov/protein/XP_020936230.1","XP_020936230.1")</f>
        <v>XP_020936230.1</v>
      </c>
      <c r="C14">
        <v>86952</v>
      </c>
      <c r="D14" t="str">
        <f>HYPERLINK("http://www.ncbi.nlm.nih.gov/Taxonomy/Browser/wwwtax.cgi?mode=Info&amp;id=9823&amp;lvl=3&amp;lin=f&amp;keep=1&amp;srchmode=1&amp;unlock","9823")</f>
        <v>9823</v>
      </c>
      <c r="E14" t="s">
        <v>66</v>
      </c>
      <c r="F14" t="str">
        <f>HYPERLINK("http://www.ncbi.nlm.nih.gov/Taxonomy/Browser/wwwtax.cgi?mode=Info&amp;id=9823&amp;lvl=3&amp;lin=f&amp;keep=1&amp;srchmode=1&amp;unlock","Sus scrofa")</f>
        <v>Sus scrofa</v>
      </c>
      <c r="G14" t="s">
        <v>85</v>
      </c>
      <c r="H14" t="str">
        <f>HYPERLINK("http://www.ncbi.nlm.nih.gov/protein/XP_020936230.1","DNA polymerase alpha catalytic subunit isoform X1")</f>
        <v>DNA polymerase alpha catalytic subunit isoform X1</v>
      </c>
      <c r="I14" t="s">
        <v>266</v>
      </c>
      <c r="J14" t="s">
        <v>69</v>
      </c>
      <c r="K14">
        <v>616</v>
      </c>
      <c r="L14" t="s">
        <v>119</v>
      </c>
      <c r="M14" t="s">
        <v>69</v>
      </c>
      <c r="N14" t="s">
        <v>120</v>
      </c>
      <c r="O14" t="s">
        <v>69</v>
      </c>
      <c r="P14">
        <v>147.131</v>
      </c>
      <c r="Q14" t="s">
        <v>69</v>
      </c>
      <c r="R14" t="s">
        <v>69</v>
      </c>
      <c r="S14">
        <v>619</v>
      </c>
      <c r="T14" t="s">
        <v>73</v>
      </c>
      <c r="U14" t="s">
        <v>69</v>
      </c>
      <c r="V14" t="s">
        <v>71</v>
      </c>
      <c r="W14" t="s">
        <v>69</v>
      </c>
      <c r="X14">
        <v>89.093999999999994</v>
      </c>
      <c r="Y14" t="s">
        <v>69</v>
      </c>
      <c r="Z14" t="s">
        <v>69</v>
      </c>
      <c r="AA14">
        <v>622</v>
      </c>
      <c r="AB14" t="s">
        <v>74</v>
      </c>
      <c r="AC14" t="s">
        <v>69</v>
      </c>
      <c r="AD14" t="s">
        <v>75</v>
      </c>
      <c r="AE14" t="s">
        <v>69</v>
      </c>
      <c r="AF14">
        <v>174.203</v>
      </c>
      <c r="AG14" t="s">
        <v>69</v>
      </c>
      <c r="AH14" t="s">
        <v>69</v>
      </c>
      <c r="AI14">
        <v>623</v>
      </c>
      <c r="AJ14" t="s">
        <v>149</v>
      </c>
      <c r="AK14" t="s">
        <v>69</v>
      </c>
      <c r="AL14" t="s">
        <v>150</v>
      </c>
      <c r="AM14" t="s">
        <v>69</v>
      </c>
      <c r="AN14">
        <v>119.119</v>
      </c>
      <c r="AO14" t="s">
        <v>69</v>
      </c>
      <c r="AP14" t="s">
        <v>69</v>
      </c>
      <c r="AQ14">
        <v>661</v>
      </c>
      <c r="AR14" t="s">
        <v>76</v>
      </c>
      <c r="AS14" t="s">
        <v>69</v>
      </c>
      <c r="AT14" t="s">
        <v>75</v>
      </c>
      <c r="AU14" t="s">
        <v>69</v>
      </c>
      <c r="AV14">
        <v>146.18899999999999</v>
      </c>
      <c r="AW14" t="s">
        <v>69</v>
      </c>
      <c r="AX14" t="s">
        <v>69</v>
      </c>
    </row>
    <row r="15" spans="1:50" x14ac:dyDescent="0.25">
      <c r="A15">
        <v>7</v>
      </c>
      <c r="B15" t="str">
        <f>HYPERLINK("http://www.ncbi.nlm.nih.gov/protein/XP_007087918.2","XP_007087918.2")</f>
        <v>XP_007087918.2</v>
      </c>
      <c r="C15">
        <v>56089</v>
      </c>
      <c r="D15" t="str">
        <f>HYPERLINK("http://www.ncbi.nlm.nih.gov/Taxonomy/Browser/wwwtax.cgi?mode=Info&amp;id=9694&amp;lvl=3&amp;lin=f&amp;keep=1&amp;srchmode=1&amp;unlock","9694")</f>
        <v>9694</v>
      </c>
      <c r="E15" t="s">
        <v>66</v>
      </c>
      <c r="F15" t="str">
        <f>HYPERLINK("http://www.ncbi.nlm.nih.gov/Taxonomy/Browser/wwwtax.cgi?mode=Info&amp;id=9694&amp;lvl=3&amp;lin=f&amp;keep=1&amp;srchmode=1&amp;unlock","Panthera tigris")</f>
        <v>Panthera tigris</v>
      </c>
      <c r="G15" t="s">
        <v>89</v>
      </c>
      <c r="H15" t="str">
        <f>HYPERLINK("http://www.ncbi.nlm.nih.gov/protein/XP_007087918.2","DNA polymerase alpha catalytic subunit isoform X1")</f>
        <v>DNA polymerase alpha catalytic subunit isoform X1</v>
      </c>
      <c r="I15" t="s">
        <v>266</v>
      </c>
      <c r="J15" t="s">
        <v>69</v>
      </c>
      <c r="K15">
        <v>616</v>
      </c>
      <c r="L15" t="s">
        <v>119</v>
      </c>
      <c r="M15" t="s">
        <v>69</v>
      </c>
      <c r="N15" t="s">
        <v>120</v>
      </c>
      <c r="O15" t="s">
        <v>69</v>
      </c>
      <c r="P15">
        <v>147.131</v>
      </c>
      <c r="Q15" t="s">
        <v>69</v>
      </c>
      <c r="R15" t="s">
        <v>69</v>
      </c>
      <c r="S15">
        <v>619</v>
      </c>
      <c r="T15" t="s">
        <v>73</v>
      </c>
      <c r="U15" t="s">
        <v>69</v>
      </c>
      <c r="V15" t="s">
        <v>71</v>
      </c>
      <c r="W15" t="s">
        <v>69</v>
      </c>
      <c r="X15">
        <v>89.093999999999994</v>
      </c>
      <c r="Y15" t="s">
        <v>69</v>
      </c>
      <c r="Z15" t="s">
        <v>69</v>
      </c>
      <c r="AA15">
        <v>622</v>
      </c>
      <c r="AB15" t="s">
        <v>74</v>
      </c>
      <c r="AC15" t="s">
        <v>69</v>
      </c>
      <c r="AD15" t="s">
        <v>75</v>
      </c>
      <c r="AE15" t="s">
        <v>69</v>
      </c>
      <c r="AF15">
        <v>174.203</v>
      </c>
      <c r="AG15" t="s">
        <v>69</v>
      </c>
      <c r="AH15" t="s">
        <v>69</v>
      </c>
      <c r="AI15">
        <v>623</v>
      </c>
      <c r="AJ15" t="s">
        <v>149</v>
      </c>
      <c r="AK15" t="s">
        <v>69</v>
      </c>
      <c r="AL15" t="s">
        <v>150</v>
      </c>
      <c r="AM15" t="s">
        <v>69</v>
      </c>
      <c r="AN15">
        <v>119.119</v>
      </c>
      <c r="AO15" t="s">
        <v>69</v>
      </c>
      <c r="AP15" t="s">
        <v>69</v>
      </c>
      <c r="AQ15">
        <v>661</v>
      </c>
      <c r="AR15" t="s">
        <v>76</v>
      </c>
      <c r="AS15" t="s">
        <v>69</v>
      </c>
      <c r="AT15" t="s">
        <v>75</v>
      </c>
      <c r="AU15" t="s">
        <v>69</v>
      </c>
      <c r="AV15">
        <v>146.18899999999999</v>
      </c>
      <c r="AW15" t="s">
        <v>69</v>
      </c>
      <c r="AX15" t="s">
        <v>69</v>
      </c>
    </row>
    <row r="16" spans="1:50" x14ac:dyDescent="0.25">
      <c r="A16">
        <v>7</v>
      </c>
      <c r="B16" t="str">
        <f>HYPERLINK("http://www.ncbi.nlm.nih.gov/protein/XP_046931988.1","XP_046931988.1")</f>
        <v>XP_046931988.1</v>
      </c>
      <c r="C16">
        <v>38764</v>
      </c>
      <c r="D16" t="str">
        <f>HYPERLINK("http://www.ncbi.nlm.nih.gov/Taxonomy/Browser/wwwtax.cgi?mode=Info&amp;id=61384&amp;lvl=3&amp;lin=f&amp;keep=1&amp;srchmode=1&amp;unlock","61384")</f>
        <v>61384</v>
      </c>
      <c r="E16" t="s">
        <v>66</v>
      </c>
      <c r="F16" t="str">
        <f>HYPERLINK("http://www.ncbi.nlm.nih.gov/Taxonomy/Browser/wwwtax.cgi?mode=Info&amp;id=61384&amp;lvl=3&amp;lin=f&amp;keep=1&amp;srchmode=1&amp;unlock","Lynx rufus")</f>
        <v>Lynx rufus</v>
      </c>
      <c r="G16" t="s">
        <v>93</v>
      </c>
      <c r="H16" t="str">
        <f>HYPERLINK("http://www.ncbi.nlm.nih.gov/protein/XP_046931988.1","DNA polymerase alpha catalytic subunit isoform X1")</f>
        <v>DNA polymerase alpha catalytic subunit isoform X1</v>
      </c>
      <c r="I16" t="s">
        <v>266</v>
      </c>
      <c r="J16" t="s">
        <v>69</v>
      </c>
      <c r="K16">
        <v>616</v>
      </c>
      <c r="L16" t="s">
        <v>119</v>
      </c>
      <c r="M16" t="s">
        <v>69</v>
      </c>
      <c r="N16" t="s">
        <v>120</v>
      </c>
      <c r="O16" t="s">
        <v>69</v>
      </c>
      <c r="P16">
        <v>147.131</v>
      </c>
      <c r="Q16" t="s">
        <v>69</v>
      </c>
      <c r="R16" t="s">
        <v>69</v>
      </c>
      <c r="S16">
        <v>619</v>
      </c>
      <c r="T16" t="s">
        <v>73</v>
      </c>
      <c r="U16" t="s">
        <v>69</v>
      </c>
      <c r="V16" t="s">
        <v>71</v>
      </c>
      <c r="W16" t="s">
        <v>69</v>
      </c>
      <c r="X16">
        <v>89.093999999999994</v>
      </c>
      <c r="Y16" t="s">
        <v>69</v>
      </c>
      <c r="Z16" t="s">
        <v>69</v>
      </c>
      <c r="AA16">
        <v>622</v>
      </c>
      <c r="AB16" t="s">
        <v>74</v>
      </c>
      <c r="AC16" t="s">
        <v>69</v>
      </c>
      <c r="AD16" t="s">
        <v>75</v>
      </c>
      <c r="AE16" t="s">
        <v>69</v>
      </c>
      <c r="AF16">
        <v>174.203</v>
      </c>
      <c r="AG16" t="s">
        <v>69</v>
      </c>
      <c r="AH16" t="s">
        <v>69</v>
      </c>
      <c r="AI16">
        <v>623</v>
      </c>
      <c r="AJ16" t="s">
        <v>149</v>
      </c>
      <c r="AK16" t="s">
        <v>69</v>
      </c>
      <c r="AL16" t="s">
        <v>150</v>
      </c>
      <c r="AM16" t="s">
        <v>69</v>
      </c>
      <c r="AN16">
        <v>119.119</v>
      </c>
      <c r="AO16" t="s">
        <v>69</v>
      </c>
      <c r="AP16" t="s">
        <v>69</v>
      </c>
      <c r="AQ16">
        <v>661</v>
      </c>
      <c r="AR16" t="s">
        <v>76</v>
      </c>
      <c r="AS16" t="s">
        <v>69</v>
      </c>
      <c r="AT16" t="s">
        <v>75</v>
      </c>
      <c r="AU16" t="s">
        <v>69</v>
      </c>
      <c r="AV16">
        <v>146.18899999999999</v>
      </c>
      <c r="AW16" t="s">
        <v>69</v>
      </c>
      <c r="AX16" t="s">
        <v>69</v>
      </c>
    </row>
    <row r="17" spans="1:50" x14ac:dyDescent="0.25">
      <c r="A17">
        <v>7</v>
      </c>
      <c r="B17" t="str">
        <f>HYPERLINK("http://www.ncbi.nlm.nih.gov/protein/XP_030161426.1","XP_030161426.1")</f>
        <v>XP_030161426.1</v>
      </c>
      <c r="C17">
        <v>42175</v>
      </c>
      <c r="D17" t="str">
        <f>HYPERLINK("http://www.ncbi.nlm.nih.gov/Taxonomy/Browser/wwwtax.cgi?mode=Info&amp;id=61383&amp;lvl=3&amp;lin=f&amp;keep=1&amp;srchmode=1&amp;unlock","61383")</f>
        <v>61383</v>
      </c>
      <c r="E17" t="s">
        <v>66</v>
      </c>
      <c r="F17" t="str">
        <f>HYPERLINK("http://www.ncbi.nlm.nih.gov/Taxonomy/Browser/wwwtax.cgi?mode=Info&amp;id=61383&amp;lvl=3&amp;lin=f&amp;keep=1&amp;srchmode=1&amp;unlock","Lynx canadensis")</f>
        <v>Lynx canadensis</v>
      </c>
      <c r="G17" t="s">
        <v>105</v>
      </c>
      <c r="H17" t="str">
        <f>HYPERLINK("http://www.ncbi.nlm.nih.gov/protein/XP_030161426.1","DNA polymerase alpha catalytic subunit")</f>
        <v>DNA polymerase alpha catalytic subunit</v>
      </c>
      <c r="I17" t="s">
        <v>266</v>
      </c>
      <c r="J17" t="s">
        <v>69</v>
      </c>
      <c r="K17">
        <v>616</v>
      </c>
      <c r="L17" t="s">
        <v>119</v>
      </c>
      <c r="M17" t="s">
        <v>69</v>
      </c>
      <c r="N17" t="s">
        <v>120</v>
      </c>
      <c r="O17" t="s">
        <v>69</v>
      </c>
      <c r="P17">
        <v>147.131</v>
      </c>
      <c r="Q17" t="s">
        <v>69</v>
      </c>
      <c r="R17" t="s">
        <v>69</v>
      </c>
      <c r="S17">
        <v>619</v>
      </c>
      <c r="T17" t="s">
        <v>73</v>
      </c>
      <c r="U17" t="s">
        <v>69</v>
      </c>
      <c r="V17" t="s">
        <v>71</v>
      </c>
      <c r="W17" t="s">
        <v>69</v>
      </c>
      <c r="X17">
        <v>89.093999999999994</v>
      </c>
      <c r="Y17" t="s">
        <v>69</v>
      </c>
      <c r="Z17" t="s">
        <v>69</v>
      </c>
      <c r="AA17">
        <v>622</v>
      </c>
      <c r="AB17" t="s">
        <v>74</v>
      </c>
      <c r="AC17" t="s">
        <v>69</v>
      </c>
      <c r="AD17" t="s">
        <v>75</v>
      </c>
      <c r="AE17" t="s">
        <v>69</v>
      </c>
      <c r="AF17">
        <v>174.203</v>
      </c>
      <c r="AG17" t="s">
        <v>69</v>
      </c>
      <c r="AH17" t="s">
        <v>69</v>
      </c>
      <c r="AI17">
        <v>623</v>
      </c>
      <c r="AJ17" t="s">
        <v>149</v>
      </c>
      <c r="AK17" t="s">
        <v>69</v>
      </c>
      <c r="AL17" t="s">
        <v>150</v>
      </c>
      <c r="AM17" t="s">
        <v>69</v>
      </c>
      <c r="AN17">
        <v>119.119</v>
      </c>
      <c r="AO17" t="s">
        <v>69</v>
      </c>
      <c r="AP17" t="s">
        <v>69</v>
      </c>
      <c r="AQ17">
        <v>661</v>
      </c>
      <c r="AR17" t="s">
        <v>76</v>
      </c>
      <c r="AS17" t="s">
        <v>69</v>
      </c>
      <c r="AT17" t="s">
        <v>75</v>
      </c>
      <c r="AU17" t="s">
        <v>69</v>
      </c>
      <c r="AV17">
        <v>146.18899999999999</v>
      </c>
      <c r="AW17" t="s">
        <v>69</v>
      </c>
      <c r="AX17" t="s">
        <v>69</v>
      </c>
    </row>
    <row r="18" spans="1:50" x14ac:dyDescent="0.25">
      <c r="A18">
        <v>7</v>
      </c>
      <c r="B18" t="str">
        <f>HYPERLINK("http://www.ncbi.nlm.nih.gov/protein/XP_044090299.1","XP_044090299.1")</f>
        <v>XP_044090299.1</v>
      </c>
      <c r="C18">
        <v>44640</v>
      </c>
      <c r="D18" t="str">
        <f>HYPERLINK("http://www.ncbi.nlm.nih.gov/Taxonomy/Browser/wwwtax.cgi?mode=Info&amp;id=452646&amp;lvl=3&amp;lin=f&amp;keep=1&amp;srchmode=1&amp;unlock","452646")</f>
        <v>452646</v>
      </c>
      <c r="E18" t="s">
        <v>66</v>
      </c>
      <c r="F18" t="str">
        <f>HYPERLINK("http://www.ncbi.nlm.nih.gov/Taxonomy/Browser/wwwtax.cgi?mode=Info&amp;id=452646&amp;lvl=3&amp;lin=f&amp;keep=1&amp;srchmode=1&amp;unlock","Neogale vison")</f>
        <v>Neogale vison</v>
      </c>
      <c r="G18" t="s">
        <v>96</v>
      </c>
      <c r="H18" t="str">
        <f>HYPERLINK("http://www.ncbi.nlm.nih.gov/protein/XP_044090299.1","DNA polymerase alpha catalytic subunit isoform X1")</f>
        <v>DNA polymerase alpha catalytic subunit isoform X1</v>
      </c>
      <c r="I18" t="s">
        <v>266</v>
      </c>
      <c r="J18" t="s">
        <v>69</v>
      </c>
      <c r="K18">
        <v>616</v>
      </c>
      <c r="L18" t="s">
        <v>119</v>
      </c>
      <c r="M18" t="s">
        <v>69</v>
      </c>
      <c r="N18" t="s">
        <v>120</v>
      </c>
      <c r="O18" t="s">
        <v>69</v>
      </c>
      <c r="P18">
        <v>147.131</v>
      </c>
      <c r="Q18" t="s">
        <v>69</v>
      </c>
      <c r="R18" t="s">
        <v>69</v>
      </c>
      <c r="S18">
        <v>619</v>
      </c>
      <c r="T18" t="s">
        <v>73</v>
      </c>
      <c r="U18" t="s">
        <v>69</v>
      </c>
      <c r="V18" t="s">
        <v>71</v>
      </c>
      <c r="W18" t="s">
        <v>69</v>
      </c>
      <c r="X18">
        <v>89.093999999999994</v>
      </c>
      <c r="Y18" t="s">
        <v>69</v>
      </c>
      <c r="Z18" t="s">
        <v>69</v>
      </c>
      <c r="AA18">
        <v>622</v>
      </c>
      <c r="AB18" t="s">
        <v>74</v>
      </c>
      <c r="AC18" t="s">
        <v>69</v>
      </c>
      <c r="AD18" t="s">
        <v>75</v>
      </c>
      <c r="AE18" t="s">
        <v>69</v>
      </c>
      <c r="AF18">
        <v>174.203</v>
      </c>
      <c r="AG18" t="s">
        <v>69</v>
      </c>
      <c r="AH18" t="s">
        <v>69</v>
      </c>
      <c r="AI18">
        <v>623</v>
      </c>
      <c r="AJ18" t="s">
        <v>149</v>
      </c>
      <c r="AK18" t="s">
        <v>69</v>
      </c>
      <c r="AL18" t="s">
        <v>150</v>
      </c>
      <c r="AM18" t="s">
        <v>69</v>
      </c>
      <c r="AN18">
        <v>119.119</v>
      </c>
      <c r="AO18" t="s">
        <v>69</v>
      </c>
      <c r="AP18" t="s">
        <v>69</v>
      </c>
      <c r="AQ18">
        <v>661</v>
      </c>
      <c r="AR18" t="s">
        <v>76</v>
      </c>
      <c r="AS18" t="s">
        <v>69</v>
      </c>
      <c r="AT18" t="s">
        <v>75</v>
      </c>
      <c r="AU18" t="s">
        <v>69</v>
      </c>
      <c r="AV18">
        <v>146.18899999999999</v>
      </c>
      <c r="AW18" t="s">
        <v>69</v>
      </c>
      <c r="AX18" t="s">
        <v>69</v>
      </c>
    </row>
    <row r="19" spans="1:50" x14ac:dyDescent="0.25">
      <c r="A19">
        <v>7</v>
      </c>
      <c r="B19" t="str">
        <f>HYPERLINK("http://www.ncbi.nlm.nih.gov/protein/XP_004769204.1","XP_004769204.1")</f>
        <v>XP_004769204.1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HYPERLINK("http://www.ncbi.nlm.nih.gov/protein/XP_004769204.1","DNA polymerase alpha catalytic subunit isoform X2")</f>
        <v>DNA polymerase alpha catalytic subunit isoform X2</v>
      </c>
      <c r="I19" t="s">
        <v>266</v>
      </c>
      <c r="J19" t="s">
        <v>69</v>
      </c>
      <c r="K19">
        <v>616</v>
      </c>
      <c r="L19" t="s">
        <v>119</v>
      </c>
      <c r="M19" t="s">
        <v>69</v>
      </c>
      <c r="N19" t="s">
        <v>120</v>
      </c>
      <c r="O19" t="s">
        <v>69</v>
      </c>
      <c r="P19">
        <v>147.131</v>
      </c>
      <c r="Q19" t="s">
        <v>69</v>
      </c>
      <c r="R19" t="s">
        <v>69</v>
      </c>
      <c r="S19">
        <v>619</v>
      </c>
      <c r="T19" t="s">
        <v>73</v>
      </c>
      <c r="U19" t="s">
        <v>69</v>
      </c>
      <c r="V19" t="s">
        <v>71</v>
      </c>
      <c r="W19" t="s">
        <v>69</v>
      </c>
      <c r="X19">
        <v>89.093999999999994</v>
      </c>
      <c r="Y19" t="s">
        <v>69</v>
      </c>
      <c r="Z19" t="s">
        <v>69</v>
      </c>
      <c r="AA19">
        <v>622</v>
      </c>
      <c r="AB19" t="s">
        <v>74</v>
      </c>
      <c r="AC19" t="s">
        <v>69</v>
      </c>
      <c r="AD19" t="s">
        <v>75</v>
      </c>
      <c r="AE19" t="s">
        <v>69</v>
      </c>
      <c r="AF19">
        <v>174.203</v>
      </c>
      <c r="AG19" t="s">
        <v>69</v>
      </c>
      <c r="AH19" t="s">
        <v>69</v>
      </c>
      <c r="AI19">
        <v>623</v>
      </c>
      <c r="AJ19" t="s">
        <v>149</v>
      </c>
      <c r="AK19" t="s">
        <v>69</v>
      </c>
      <c r="AL19" t="s">
        <v>150</v>
      </c>
      <c r="AM19" t="s">
        <v>69</v>
      </c>
      <c r="AN19">
        <v>119.119</v>
      </c>
      <c r="AO19" t="s">
        <v>69</v>
      </c>
      <c r="AP19" t="s">
        <v>69</v>
      </c>
      <c r="AQ19">
        <v>661</v>
      </c>
      <c r="AR19" t="s">
        <v>76</v>
      </c>
      <c r="AS19" t="s">
        <v>69</v>
      </c>
      <c r="AT19" t="s">
        <v>75</v>
      </c>
      <c r="AU19" t="s">
        <v>69</v>
      </c>
      <c r="AV19">
        <v>146.18899999999999</v>
      </c>
      <c r="AW19" t="s">
        <v>69</v>
      </c>
      <c r="AX19" t="s">
        <v>69</v>
      </c>
    </row>
    <row r="20" spans="1:50" x14ac:dyDescent="0.25">
      <c r="A20">
        <v>7</v>
      </c>
      <c r="B20" t="str">
        <f>HYPERLINK("http://www.ncbi.nlm.nih.gov/protein/XP_047700378.1","XP_047700378.1")</f>
        <v>XP_047700378.1</v>
      </c>
      <c r="C20">
        <v>56399</v>
      </c>
      <c r="D20" t="str">
        <f>HYPERLINK("http://www.ncbi.nlm.nih.gov/Taxonomy/Browser/wwwtax.cgi?mode=Info&amp;id=61388&amp;lvl=3&amp;lin=f&amp;keep=1&amp;srchmode=1&amp;unlock","61388")</f>
        <v>61388</v>
      </c>
      <c r="E20" t="s">
        <v>66</v>
      </c>
      <c r="F20" t="str">
        <f>HYPERLINK("http://www.ncbi.nlm.nih.gov/Taxonomy/Browser/wwwtax.cgi?mode=Info&amp;id=61388&amp;lvl=3&amp;lin=f&amp;keep=1&amp;srchmode=1&amp;unlock","Prionailurus viverrinus")</f>
        <v>Prionailurus viverrinus</v>
      </c>
      <c r="G20" t="s">
        <v>94</v>
      </c>
      <c r="H20" t="str">
        <f>HYPERLINK("http://www.ncbi.nlm.nih.gov/protein/XP_047700378.1","DNA polymerase alpha catalytic subunit")</f>
        <v>DNA polymerase alpha catalytic subunit</v>
      </c>
      <c r="I20" t="s">
        <v>266</v>
      </c>
      <c r="J20" t="s">
        <v>69</v>
      </c>
      <c r="K20">
        <v>616</v>
      </c>
      <c r="L20" t="s">
        <v>119</v>
      </c>
      <c r="M20" t="s">
        <v>69</v>
      </c>
      <c r="N20" t="s">
        <v>120</v>
      </c>
      <c r="O20" t="s">
        <v>69</v>
      </c>
      <c r="P20">
        <v>147.131</v>
      </c>
      <c r="Q20" t="s">
        <v>69</v>
      </c>
      <c r="R20" t="s">
        <v>69</v>
      </c>
      <c r="S20">
        <v>619</v>
      </c>
      <c r="T20" t="s">
        <v>73</v>
      </c>
      <c r="U20" t="s">
        <v>69</v>
      </c>
      <c r="V20" t="s">
        <v>71</v>
      </c>
      <c r="W20" t="s">
        <v>69</v>
      </c>
      <c r="X20">
        <v>89.093999999999994</v>
      </c>
      <c r="Y20" t="s">
        <v>69</v>
      </c>
      <c r="Z20" t="s">
        <v>69</v>
      </c>
      <c r="AA20">
        <v>622</v>
      </c>
      <c r="AB20" t="s">
        <v>74</v>
      </c>
      <c r="AC20" t="s">
        <v>69</v>
      </c>
      <c r="AD20" t="s">
        <v>75</v>
      </c>
      <c r="AE20" t="s">
        <v>69</v>
      </c>
      <c r="AF20">
        <v>174.203</v>
      </c>
      <c r="AG20" t="s">
        <v>69</v>
      </c>
      <c r="AH20" t="s">
        <v>69</v>
      </c>
      <c r="AI20">
        <v>623</v>
      </c>
      <c r="AJ20" t="s">
        <v>149</v>
      </c>
      <c r="AK20" t="s">
        <v>69</v>
      </c>
      <c r="AL20" t="s">
        <v>150</v>
      </c>
      <c r="AM20" t="s">
        <v>69</v>
      </c>
      <c r="AN20">
        <v>119.119</v>
      </c>
      <c r="AO20" t="s">
        <v>69</v>
      </c>
      <c r="AP20" t="s">
        <v>69</v>
      </c>
      <c r="AQ20">
        <v>661</v>
      </c>
      <c r="AR20" t="s">
        <v>76</v>
      </c>
      <c r="AS20" t="s">
        <v>69</v>
      </c>
      <c r="AT20" t="s">
        <v>75</v>
      </c>
      <c r="AU20" t="s">
        <v>69</v>
      </c>
      <c r="AV20">
        <v>146.18899999999999</v>
      </c>
      <c r="AW20" t="s">
        <v>69</v>
      </c>
      <c r="AX20" t="s">
        <v>69</v>
      </c>
    </row>
    <row r="21" spans="1:50" x14ac:dyDescent="0.25">
      <c r="A21">
        <v>7</v>
      </c>
      <c r="B21" t="str">
        <f>HYPERLINK("http://www.ncbi.nlm.nih.gov/protein/XP_006943693.1","XP_006943693.1")</f>
        <v>XP_006943693.1</v>
      </c>
      <c r="C21">
        <v>74287</v>
      </c>
      <c r="D21" t="str">
        <f>HYPERLINK("http://www.ncbi.nlm.nih.gov/Taxonomy/Browser/wwwtax.cgi?mode=Info&amp;id=9685&amp;lvl=3&amp;lin=f&amp;keep=1&amp;srchmode=1&amp;unlock","9685")</f>
        <v>9685</v>
      </c>
      <c r="E21" t="s">
        <v>66</v>
      </c>
      <c r="F21" t="str">
        <f>HYPERLINK("http://www.ncbi.nlm.nih.gov/Taxonomy/Browser/wwwtax.cgi?mode=Info&amp;id=9685&amp;lvl=3&amp;lin=f&amp;keep=1&amp;srchmode=1&amp;unlock","Felis catus")</f>
        <v>Felis catus</v>
      </c>
      <c r="G21" t="s">
        <v>86</v>
      </c>
      <c r="H21" t="str">
        <f>HYPERLINK("http://www.ncbi.nlm.nih.gov/protein/XP_006943693.1","DNA polymerase alpha catalytic subunit isoform X2")</f>
        <v>DNA polymerase alpha catalytic subunit isoform X2</v>
      </c>
      <c r="I21" t="s">
        <v>266</v>
      </c>
      <c r="J21" t="s">
        <v>69</v>
      </c>
      <c r="K21">
        <v>616</v>
      </c>
      <c r="L21" t="s">
        <v>119</v>
      </c>
      <c r="M21" t="s">
        <v>69</v>
      </c>
      <c r="N21" t="s">
        <v>120</v>
      </c>
      <c r="O21" t="s">
        <v>69</v>
      </c>
      <c r="P21">
        <v>147.131</v>
      </c>
      <c r="Q21" t="s">
        <v>69</v>
      </c>
      <c r="R21" t="s">
        <v>69</v>
      </c>
      <c r="S21">
        <v>619</v>
      </c>
      <c r="T21" t="s">
        <v>73</v>
      </c>
      <c r="U21" t="s">
        <v>69</v>
      </c>
      <c r="V21" t="s">
        <v>71</v>
      </c>
      <c r="W21" t="s">
        <v>69</v>
      </c>
      <c r="X21">
        <v>89.093999999999994</v>
      </c>
      <c r="Y21" t="s">
        <v>69</v>
      </c>
      <c r="Z21" t="s">
        <v>69</v>
      </c>
      <c r="AA21">
        <v>622</v>
      </c>
      <c r="AB21" t="s">
        <v>74</v>
      </c>
      <c r="AC21" t="s">
        <v>69</v>
      </c>
      <c r="AD21" t="s">
        <v>75</v>
      </c>
      <c r="AE21" t="s">
        <v>69</v>
      </c>
      <c r="AF21">
        <v>174.203</v>
      </c>
      <c r="AG21" t="s">
        <v>69</v>
      </c>
      <c r="AH21" t="s">
        <v>69</v>
      </c>
      <c r="AI21">
        <v>623</v>
      </c>
      <c r="AJ21" t="s">
        <v>149</v>
      </c>
      <c r="AK21" t="s">
        <v>69</v>
      </c>
      <c r="AL21" t="s">
        <v>150</v>
      </c>
      <c r="AM21" t="s">
        <v>69</v>
      </c>
      <c r="AN21">
        <v>119.119</v>
      </c>
      <c r="AO21" t="s">
        <v>69</v>
      </c>
      <c r="AP21" t="s">
        <v>69</v>
      </c>
      <c r="AQ21">
        <v>661</v>
      </c>
      <c r="AR21" t="s">
        <v>76</v>
      </c>
      <c r="AS21" t="s">
        <v>69</v>
      </c>
      <c r="AT21" t="s">
        <v>75</v>
      </c>
      <c r="AU21" t="s">
        <v>69</v>
      </c>
      <c r="AV21">
        <v>146.18899999999999</v>
      </c>
      <c r="AW21" t="s">
        <v>69</v>
      </c>
      <c r="AX21" t="s">
        <v>69</v>
      </c>
    </row>
    <row r="22" spans="1:50" x14ac:dyDescent="0.25">
      <c r="A22">
        <v>7</v>
      </c>
      <c r="B22" t="str">
        <f>HYPERLINK("http://www.ncbi.nlm.nih.gov/protein/NP_001192994.1","NP_001192994.1")</f>
        <v>NP_001192994.1</v>
      </c>
      <c r="C22">
        <v>136186</v>
      </c>
      <c r="D22" t="str">
        <f>HYPERLINK("http://www.ncbi.nlm.nih.gov/Taxonomy/Browser/wwwtax.cgi?mode=Info&amp;id=9913&amp;lvl=3&amp;lin=f&amp;keep=1&amp;srchmode=1&amp;unlock","9913")</f>
        <v>9913</v>
      </c>
      <c r="E22" t="s">
        <v>66</v>
      </c>
      <c r="F22" t="str">
        <f>HYPERLINK("http://www.ncbi.nlm.nih.gov/Taxonomy/Browser/wwwtax.cgi?mode=Info&amp;id=9913&amp;lvl=3&amp;lin=f&amp;keep=1&amp;srchmode=1&amp;unlock","Bos taurus")</f>
        <v>Bos taurus</v>
      </c>
      <c r="G22" t="s">
        <v>82</v>
      </c>
      <c r="H22" t="str">
        <f>HYPERLINK("http://www.ncbi.nlm.nih.gov/protein/NP_001192994.1","DNA polymerase alpha catalytic subunit")</f>
        <v>DNA polymerase alpha catalytic subunit</v>
      </c>
      <c r="I22" t="s">
        <v>266</v>
      </c>
      <c r="J22" t="s">
        <v>69</v>
      </c>
      <c r="K22">
        <v>610</v>
      </c>
      <c r="L22" t="s">
        <v>119</v>
      </c>
      <c r="M22" t="s">
        <v>69</v>
      </c>
      <c r="N22" t="s">
        <v>120</v>
      </c>
      <c r="O22" t="s">
        <v>69</v>
      </c>
      <c r="P22">
        <v>147.131</v>
      </c>
      <c r="Q22" t="s">
        <v>69</v>
      </c>
      <c r="R22" t="s">
        <v>69</v>
      </c>
      <c r="S22">
        <v>613</v>
      </c>
      <c r="T22" t="s">
        <v>73</v>
      </c>
      <c r="U22" t="s">
        <v>69</v>
      </c>
      <c r="V22" t="s">
        <v>71</v>
      </c>
      <c r="W22" t="s">
        <v>69</v>
      </c>
      <c r="X22">
        <v>89.093999999999994</v>
      </c>
      <c r="Y22" t="s">
        <v>69</v>
      </c>
      <c r="Z22" t="s">
        <v>69</v>
      </c>
      <c r="AA22">
        <v>616</v>
      </c>
      <c r="AB22" t="s">
        <v>74</v>
      </c>
      <c r="AC22" t="s">
        <v>69</v>
      </c>
      <c r="AD22" t="s">
        <v>75</v>
      </c>
      <c r="AE22" t="s">
        <v>69</v>
      </c>
      <c r="AF22">
        <v>174.203</v>
      </c>
      <c r="AG22" t="s">
        <v>69</v>
      </c>
      <c r="AH22" t="s">
        <v>69</v>
      </c>
      <c r="AI22">
        <v>617</v>
      </c>
      <c r="AJ22" t="s">
        <v>149</v>
      </c>
      <c r="AK22" t="s">
        <v>69</v>
      </c>
      <c r="AL22" t="s">
        <v>150</v>
      </c>
      <c r="AM22" t="s">
        <v>69</v>
      </c>
      <c r="AN22">
        <v>119.119</v>
      </c>
      <c r="AO22" t="s">
        <v>69</v>
      </c>
      <c r="AP22" t="s">
        <v>69</v>
      </c>
      <c r="AQ22">
        <v>655</v>
      </c>
      <c r="AR22" t="s">
        <v>76</v>
      </c>
      <c r="AS22" t="s">
        <v>69</v>
      </c>
      <c r="AT22" t="s">
        <v>75</v>
      </c>
      <c r="AU22" t="s">
        <v>69</v>
      </c>
      <c r="AV22">
        <v>146.18899999999999</v>
      </c>
      <c r="AW22" t="s">
        <v>69</v>
      </c>
      <c r="AX22" t="s">
        <v>69</v>
      </c>
    </row>
    <row r="23" spans="1:50" x14ac:dyDescent="0.25">
      <c r="A23">
        <v>7</v>
      </c>
      <c r="B23" t="str">
        <f>HYPERLINK("http://www.ncbi.nlm.nih.gov/protein/XP_015976828.1","XP_015976828.1")</f>
        <v>XP_015976828.1</v>
      </c>
      <c r="C23">
        <v>117142</v>
      </c>
      <c r="D23" t="str">
        <f>HYPERLINK("http://www.ncbi.nlm.nih.gov/Taxonomy/Browser/wwwtax.cgi?mode=Info&amp;id=9407&amp;lvl=3&amp;lin=f&amp;keep=1&amp;srchmode=1&amp;unlock","9407")</f>
        <v>9407</v>
      </c>
      <c r="E23" t="s">
        <v>66</v>
      </c>
      <c r="F23" t="str">
        <f>HYPERLINK("http://www.ncbi.nlm.nih.gov/Taxonomy/Browser/wwwtax.cgi?mode=Info&amp;id=9407&amp;lvl=3&amp;lin=f&amp;keep=1&amp;srchmode=1&amp;unlock","Rousettus aegyptiacus")</f>
        <v>Rousettus aegyptiacus</v>
      </c>
      <c r="G23" t="s">
        <v>103</v>
      </c>
      <c r="H23" t="str">
        <f>HYPERLINK("http://www.ncbi.nlm.nih.gov/protein/XP_015976828.1","DNA polymerase alpha catalytic subunit isoform X3")</f>
        <v>DNA polymerase alpha catalytic subunit isoform X3</v>
      </c>
      <c r="I23" t="s">
        <v>266</v>
      </c>
      <c r="J23" t="s">
        <v>69</v>
      </c>
      <c r="K23">
        <v>608</v>
      </c>
      <c r="L23" t="s">
        <v>119</v>
      </c>
      <c r="M23" t="s">
        <v>69</v>
      </c>
      <c r="N23" t="s">
        <v>120</v>
      </c>
      <c r="O23" t="s">
        <v>69</v>
      </c>
      <c r="P23">
        <v>147.131</v>
      </c>
      <c r="Q23" t="s">
        <v>69</v>
      </c>
      <c r="R23" t="s">
        <v>69</v>
      </c>
      <c r="S23">
        <v>611</v>
      </c>
      <c r="T23" t="s">
        <v>73</v>
      </c>
      <c r="U23" t="s">
        <v>69</v>
      </c>
      <c r="V23" t="s">
        <v>71</v>
      </c>
      <c r="W23" t="s">
        <v>69</v>
      </c>
      <c r="X23">
        <v>89.093999999999994</v>
      </c>
      <c r="Y23" t="s">
        <v>69</v>
      </c>
      <c r="Z23" t="s">
        <v>69</v>
      </c>
      <c r="AA23">
        <v>614</v>
      </c>
      <c r="AB23" t="s">
        <v>74</v>
      </c>
      <c r="AC23" t="s">
        <v>69</v>
      </c>
      <c r="AD23" t="s">
        <v>75</v>
      </c>
      <c r="AE23" t="s">
        <v>69</v>
      </c>
      <c r="AF23">
        <v>174.203</v>
      </c>
      <c r="AG23" t="s">
        <v>69</v>
      </c>
      <c r="AH23" t="s">
        <v>69</v>
      </c>
      <c r="AI23">
        <v>615</v>
      </c>
      <c r="AJ23" t="s">
        <v>149</v>
      </c>
      <c r="AK23" t="s">
        <v>69</v>
      </c>
      <c r="AL23" t="s">
        <v>150</v>
      </c>
      <c r="AM23" t="s">
        <v>69</v>
      </c>
      <c r="AN23">
        <v>119.119</v>
      </c>
      <c r="AO23" t="s">
        <v>69</v>
      </c>
      <c r="AP23" t="s">
        <v>69</v>
      </c>
      <c r="AQ23">
        <v>653</v>
      </c>
      <c r="AR23" t="s">
        <v>76</v>
      </c>
      <c r="AS23" t="s">
        <v>69</v>
      </c>
      <c r="AT23" t="s">
        <v>75</v>
      </c>
      <c r="AU23" t="s">
        <v>69</v>
      </c>
      <c r="AV23">
        <v>146.18899999999999</v>
      </c>
      <c r="AW23" t="s">
        <v>69</v>
      </c>
      <c r="AX23" t="s">
        <v>69</v>
      </c>
    </row>
    <row r="24" spans="1:50" x14ac:dyDescent="0.25">
      <c r="A24">
        <v>7</v>
      </c>
      <c r="B24" t="str">
        <f>HYPERLINK("http://www.ncbi.nlm.nih.gov/protein/NP_445931.1","NP_445931.1")</f>
        <v>NP_445931.1</v>
      </c>
      <c r="C24">
        <v>158159</v>
      </c>
      <c r="D24" t="str">
        <f>HYPERLINK("http://www.ncbi.nlm.nih.gov/Taxonomy/Browser/wwwtax.cgi?mode=Info&amp;id=10116&amp;lvl=3&amp;lin=f&amp;keep=1&amp;srchmode=1&amp;unlock","10116")</f>
        <v>10116</v>
      </c>
      <c r="E24" t="s">
        <v>66</v>
      </c>
      <c r="F24" t="str">
        <f>HYPERLINK("http://www.ncbi.nlm.nih.gov/Taxonomy/Browser/wwwtax.cgi?mode=Info&amp;id=10116&amp;lvl=3&amp;lin=f&amp;keep=1&amp;srchmode=1&amp;unlock","Rattus norvegicus")</f>
        <v>Rattus norvegicus</v>
      </c>
      <c r="G24" t="s">
        <v>102</v>
      </c>
      <c r="H24" t="str">
        <f>HYPERLINK("http://www.ncbi.nlm.nih.gov/protein/NP_445931.1","DNA polymerase alpha catalytic subunit")</f>
        <v>DNA polymerase alpha catalytic subunit</v>
      </c>
      <c r="I24" t="s">
        <v>266</v>
      </c>
      <c r="J24" t="s">
        <v>69</v>
      </c>
      <c r="K24">
        <v>617</v>
      </c>
      <c r="L24" t="s">
        <v>119</v>
      </c>
      <c r="M24" t="s">
        <v>69</v>
      </c>
      <c r="N24" t="s">
        <v>120</v>
      </c>
      <c r="O24" t="s">
        <v>69</v>
      </c>
      <c r="P24">
        <v>147.131</v>
      </c>
      <c r="Q24" t="s">
        <v>69</v>
      </c>
      <c r="R24" t="s">
        <v>69</v>
      </c>
      <c r="S24">
        <v>620</v>
      </c>
      <c r="T24" t="s">
        <v>73</v>
      </c>
      <c r="U24" t="s">
        <v>69</v>
      </c>
      <c r="V24" t="s">
        <v>71</v>
      </c>
      <c r="W24" t="s">
        <v>69</v>
      </c>
      <c r="X24">
        <v>89.093999999999994</v>
      </c>
      <c r="Y24" t="s">
        <v>69</v>
      </c>
      <c r="Z24" t="s">
        <v>69</v>
      </c>
      <c r="AA24">
        <v>623</v>
      </c>
      <c r="AB24" t="s">
        <v>74</v>
      </c>
      <c r="AC24" t="s">
        <v>69</v>
      </c>
      <c r="AD24" t="s">
        <v>75</v>
      </c>
      <c r="AE24" t="s">
        <v>69</v>
      </c>
      <c r="AF24">
        <v>174.203</v>
      </c>
      <c r="AG24" t="s">
        <v>69</v>
      </c>
      <c r="AH24" t="s">
        <v>69</v>
      </c>
      <c r="AI24">
        <v>624</v>
      </c>
      <c r="AJ24" t="s">
        <v>149</v>
      </c>
      <c r="AK24" t="s">
        <v>69</v>
      </c>
      <c r="AL24" t="s">
        <v>150</v>
      </c>
      <c r="AM24" t="s">
        <v>69</v>
      </c>
      <c r="AN24">
        <v>119.119</v>
      </c>
      <c r="AO24" t="s">
        <v>69</v>
      </c>
      <c r="AP24" t="s">
        <v>69</v>
      </c>
      <c r="AQ24">
        <v>662</v>
      </c>
      <c r="AR24" t="s">
        <v>76</v>
      </c>
      <c r="AS24" t="s">
        <v>69</v>
      </c>
      <c r="AT24" t="s">
        <v>75</v>
      </c>
      <c r="AU24" t="s">
        <v>69</v>
      </c>
      <c r="AV24">
        <v>146.18899999999999</v>
      </c>
      <c r="AW24" t="s">
        <v>69</v>
      </c>
      <c r="AX24" t="s">
        <v>69</v>
      </c>
    </row>
    <row r="25" spans="1:50" x14ac:dyDescent="0.25">
      <c r="A25">
        <v>7</v>
      </c>
      <c r="B25" t="str">
        <f>HYPERLINK("http://www.ncbi.nlm.nih.gov/protein/XP_017526531.2","XP_017526531.2")</f>
        <v>XP_017526531.2</v>
      </c>
      <c r="C25">
        <v>56064</v>
      </c>
      <c r="D25" t="str">
        <f>HYPERLINK("http://www.ncbi.nlm.nih.gov/Taxonomy/Browser/wwwtax.cgi?mode=Info&amp;id=9974&amp;lvl=3&amp;lin=f&amp;keep=1&amp;srchmode=1&amp;unlock","9974")</f>
        <v>9974</v>
      </c>
      <c r="E25" t="s">
        <v>66</v>
      </c>
      <c r="F25" t="str">
        <f>HYPERLINK("http://www.ncbi.nlm.nih.gov/Taxonomy/Browser/wwwtax.cgi?mode=Info&amp;id=9974&amp;lvl=3&amp;lin=f&amp;keep=1&amp;srchmode=1&amp;unlock","Manis javanica")</f>
        <v>Manis javanica</v>
      </c>
      <c r="G25" t="s">
        <v>100</v>
      </c>
      <c r="H25" t="str">
        <f>HYPERLINK("http://www.ncbi.nlm.nih.gov/protein/XP_017526531.2","DNA polymerase alpha catalytic subunit isoform X2")</f>
        <v>DNA polymerase alpha catalytic subunit isoform X2</v>
      </c>
      <c r="I25" t="s">
        <v>266</v>
      </c>
      <c r="J25" t="s">
        <v>69</v>
      </c>
      <c r="K25">
        <v>613</v>
      </c>
      <c r="L25" t="s">
        <v>119</v>
      </c>
      <c r="M25" t="s">
        <v>69</v>
      </c>
      <c r="N25" t="s">
        <v>120</v>
      </c>
      <c r="O25" t="s">
        <v>69</v>
      </c>
      <c r="P25">
        <v>147.131</v>
      </c>
      <c r="Q25" t="s">
        <v>69</v>
      </c>
      <c r="R25" t="s">
        <v>69</v>
      </c>
      <c r="S25">
        <v>616</v>
      </c>
      <c r="T25" t="s">
        <v>73</v>
      </c>
      <c r="U25" t="s">
        <v>69</v>
      </c>
      <c r="V25" t="s">
        <v>71</v>
      </c>
      <c r="W25" t="s">
        <v>69</v>
      </c>
      <c r="X25">
        <v>89.093999999999994</v>
      </c>
      <c r="Y25" t="s">
        <v>69</v>
      </c>
      <c r="Z25" t="s">
        <v>69</v>
      </c>
      <c r="AA25">
        <v>619</v>
      </c>
      <c r="AB25" t="s">
        <v>74</v>
      </c>
      <c r="AC25" t="s">
        <v>69</v>
      </c>
      <c r="AD25" t="s">
        <v>75</v>
      </c>
      <c r="AE25" t="s">
        <v>69</v>
      </c>
      <c r="AF25">
        <v>174.203</v>
      </c>
      <c r="AG25" t="s">
        <v>69</v>
      </c>
      <c r="AH25" t="s">
        <v>69</v>
      </c>
      <c r="AI25">
        <v>620</v>
      </c>
      <c r="AJ25" t="s">
        <v>149</v>
      </c>
      <c r="AK25" t="s">
        <v>69</v>
      </c>
      <c r="AL25" t="s">
        <v>150</v>
      </c>
      <c r="AM25" t="s">
        <v>69</v>
      </c>
      <c r="AN25">
        <v>119.119</v>
      </c>
      <c r="AO25" t="s">
        <v>69</v>
      </c>
      <c r="AP25" t="s">
        <v>69</v>
      </c>
      <c r="AQ25">
        <v>658</v>
      </c>
      <c r="AR25" t="s">
        <v>76</v>
      </c>
      <c r="AS25" t="s">
        <v>69</v>
      </c>
      <c r="AT25" t="s">
        <v>75</v>
      </c>
      <c r="AU25" t="s">
        <v>69</v>
      </c>
      <c r="AV25">
        <v>146.18899999999999</v>
      </c>
      <c r="AW25" t="s">
        <v>69</v>
      </c>
      <c r="AX25" t="s">
        <v>69</v>
      </c>
    </row>
    <row r="26" spans="1:50" x14ac:dyDescent="0.25">
      <c r="A26">
        <v>7</v>
      </c>
      <c r="B26" t="str">
        <f>HYPERLINK("http://www.ncbi.nlm.nih.gov/protein/XP_040600128.1","XP_040600128.1")</f>
        <v>XP_040600128.1</v>
      </c>
      <c r="C26">
        <v>54410</v>
      </c>
      <c r="D26" t="str">
        <f>HYPERLINK("http://www.ncbi.nlm.nih.gov/Taxonomy/Browser/wwwtax.cgi?mode=Info&amp;id=10036&amp;lvl=3&amp;lin=f&amp;keep=1&amp;srchmode=1&amp;unlock","10036")</f>
        <v>10036</v>
      </c>
      <c r="E26" t="s">
        <v>66</v>
      </c>
      <c r="F26" t="str">
        <f>HYPERLINK("http://www.ncbi.nlm.nih.gov/Taxonomy/Browser/wwwtax.cgi?mode=Info&amp;id=10036&amp;lvl=3&amp;lin=f&amp;keep=1&amp;srchmode=1&amp;unlock","Mesocricetus auratus")</f>
        <v>Mesocricetus auratus</v>
      </c>
      <c r="G26" t="s">
        <v>87</v>
      </c>
      <c r="H26" t="str">
        <f>HYPERLINK("http://www.ncbi.nlm.nih.gov/protein/XP_040600128.1","DNA polymerase alpha catalytic subunit")</f>
        <v>DNA polymerase alpha catalytic subunit</v>
      </c>
      <c r="I26" t="s">
        <v>266</v>
      </c>
      <c r="J26" t="s">
        <v>69</v>
      </c>
      <c r="K26">
        <v>616</v>
      </c>
      <c r="L26" t="s">
        <v>119</v>
      </c>
      <c r="M26" t="s">
        <v>69</v>
      </c>
      <c r="N26" t="s">
        <v>120</v>
      </c>
      <c r="O26" t="s">
        <v>69</v>
      </c>
      <c r="P26">
        <v>147.131</v>
      </c>
      <c r="Q26" t="s">
        <v>69</v>
      </c>
      <c r="R26" t="s">
        <v>69</v>
      </c>
      <c r="S26">
        <v>619</v>
      </c>
      <c r="T26" t="s">
        <v>73</v>
      </c>
      <c r="U26" t="s">
        <v>69</v>
      </c>
      <c r="V26" t="s">
        <v>71</v>
      </c>
      <c r="W26" t="s">
        <v>69</v>
      </c>
      <c r="X26">
        <v>89.093999999999994</v>
      </c>
      <c r="Y26" t="s">
        <v>69</v>
      </c>
      <c r="Z26" t="s">
        <v>69</v>
      </c>
      <c r="AA26">
        <v>622</v>
      </c>
      <c r="AB26" t="s">
        <v>74</v>
      </c>
      <c r="AC26" t="s">
        <v>69</v>
      </c>
      <c r="AD26" t="s">
        <v>75</v>
      </c>
      <c r="AE26" t="s">
        <v>69</v>
      </c>
      <c r="AF26">
        <v>174.203</v>
      </c>
      <c r="AG26" t="s">
        <v>69</v>
      </c>
      <c r="AH26" t="s">
        <v>69</v>
      </c>
      <c r="AI26">
        <v>623</v>
      </c>
      <c r="AJ26" t="s">
        <v>149</v>
      </c>
      <c r="AK26" t="s">
        <v>69</v>
      </c>
      <c r="AL26" t="s">
        <v>150</v>
      </c>
      <c r="AM26" t="s">
        <v>69</v>
      </c>
      <c r="AN26">
        <v>119.119</v>
      </c>
      <c r="AO26" t="s">
        <v>69</v>
      </c>
      <c r="AP26" t="s">
        <v>69</v>
      </c>
      <c r="AQ26">
        <v>661</v>
      </c>
      <c r="AR26" t="s">
        <v>76</v>
      </c>
      <c r="AS26" t="s">
        <v>69</v>
      </c>
      <c r="AT26" t="s">
        <v>75</v>
      </c>
      <c r="AU26" t="s">
        <v>69</v>
      </c>
      <c r="AV26">
        <v>146.18899999999999</v>
      </c>
      <c r="AW26" t="s">
        <v>69</v>
      </c>
      <c r="AX26" t="s">
        <v>69</v>
      </c>
    </row>
    <row r="27" spans="1:50" x14ac:dyDescent="0.25">
      <c r="A27">
        <v>7</v>
      </c>
      <c r="B27" t="str">
        <f>HYPERLINK("http://www.ncbi.nlm.nih.gov/protein/XP_006990181.1","XP_006990181.1")</f>
        <v>XP_006990181.1</v>
      </c>
      <c r="C27">
        <v>54287</v>
      </c>
      <c r="D27" t="str">
        <f>HYPERLINK("http://www.ncbi.nlm.nih.gov/Taxonomy/Browser/wwwtax.cgi?mode=Info&amp;id=230844&amp;lvl=3&amp;lin=f&amp;keep=1&amp;srchmode=1&amp;unlock","230844")</f>
        <v>230844</v>
      </c>
      <c r="E27" t="s">
        <v>66</v>
      </c>
      <c r="F27" t="str">
        <f>HYPERLINK("http://www.ncbi.nlm.nih.gov/Taxonomy/Browser/wwwtax.cgi?mode=Info&amp;id=230844&amp;lvl=3&amp;lin=f&amp;keep=1&amp;srchmode=1&amp;unlock","Peromyscus maniculatus bairdii")</f>
        <v>Peromyscus maniculatus bairdii</v>
      </c>
      <c r="G27" t="s">
        <v>88</v>
      </c>
      <c r="H27" t="str">
        <f>HYPERLINK("http://www.ncbi.nlm.nih.gov/protein/XP_006990181.1","DNA polymerase alpha catalytic subunit")</f>
        <v>DNA polymerase alpha catalytic subunit</v>
      </c>
      <c r="I27" t="s">
        <v>266</v>
      </c>
      <c r="J27" t="s">
        <v>69</v>
      </c>
      <c r="K27">
        <v>615</v>
      </c>
      <c r="L27" t="s">
        <v>119</v>
      </c>
      <c r="M27" t="s">
        <v>69</v>
      </c>
      <c r="N27" t="s">
        <v>120</v>
      </c>
      <c r="O27" t="s">
        <v>69</v>
      </c>
      <c r="P27">
        <v>147.131</v>
      </c>
      <c r="Q27" t="s">
        <v>69</v>
      </c>
      <c r="R27" t="s">
        <v>69</v>
      </c>
      <c r="S27">
        <v>618</v>
      </c>
      <c r="T27" t="s">
        <v>73</v>
      </c>
      <c r="U27" t="s">
        <v>69</v>
      </c>
      <c r="V27" t="s">
        <v>71</v>
      </c>
      <c r="W27" t="s">
        <v>69</v>
      </c>
      <c r="X27">
        <v>89.093999999999994</v>
      </c>
      <c r="Y27" t="s">
        <v>69</v>
      </c>
      <c r="Z27" t="s">
        <v>69</v>
      </c>
      <c r="AA27">
        <v>621</v>
      </c>
      <c r="AB27" t="s">
        <v>74</v>
      </c>
      <c r="AC27" t="s">
        <v>69</v>
      </c>
      <c r="AD27" t="s">
        <v>75</v>
      </c>
      <c r="AE27" t="s">
        <v>69</v>
      </c>
      <c r="AF27">
        <v>174.203</v>
      </c>
      <c r="AG27" t="s">
        <v>69</v>
      </c>
      <c r="AH27" t="s">
        <v>69</v>
      </c>
      <c r="AI27">
        <v>622</v>
      </c>
      <c r="AJ27" t="s">
        <v>149</v>
      </c>
      <c r="AK27" t="s">
        <v>69</v>
      </c>
      <c r="AL27" t="s">
        <v>150</v>
      </c>
      <c r="AM27" t="s">
        <v>69</v>
      </c>
      <c r="AN27">
        <v>119.119</v>
      </c>
      <c r="AO27" t="s">
        <v>69</v>
      </c>
      <c r="AP27" t="s">
        <v>69</v>
      </c>
      <c r="AQ27">
        <v>660</v>
      </c>
      <c r="AR27" t="s">
        <v>76</v>
      </c>
      <c r="AS27" t="s">
        <v>69</v>
      </c>
      <c r="AT27" t="s">
        <v>75</v>
      </c>
      <c r="AU27" t="s">
        <v>69</v>
      </c>
      <c r="AV27">
        <v>146.18899999999999</v>
      </c>
      <c r="AW27" t="s">
        <v>69</v>
      </c>
      <c r="AX27" t="s">
        <v>69</v>
      </c>
    </row>
    <row r="28" spans="1:50" x14ac:dyDescent="0.25">
      <c r="A28">
        <v>7</v>
      </c>
      <c r="B28" t="str">
        <f>HYPERLINK("http://www.ncbi.nlm.nih.gov/protein/NP_032918.1","NP_032918.1")</f>
        <v>NP_032918.1</v>
      </c>
      <c r="C28">
        <v>337449</v>
      </c>
      <c r="D28" t="str">
        <f>HYPERLINK("http://www.ncbi.nlm.nih.gov/Taxonomy/Browser/wwwtax.cgi?mode=Info&amp;id=10090&amp;lvl=3&amp;lin=f&amp;keep=1&amp;srchmode=1&amp;unlock","10090")</f>
        <v>10090</v>
      </c>
      <c r="E28" t="s">
        <v>66</v>
      </c>
      <c r="F28" t="str">
        <f>HYPERLINK("http://www.ncbi.nlm.nih.gov/Taxonomy/Browser/wwwtax.cgi?mode=Info&amp;id=10090&amp;lvl=3&amp;lin=f&amp;keep=1&amp;srchmode=1&amp;unlock","Mus musculus")</f>
        <v>Mus musculus</v>
      </c>
      <c r="G28" t="s">
        <v>104</v>
      </c>
      <c r="H28" t="str">
        <f>HYPERLINK("http://www.ncbi.nlm.nih.gov/protein/NP_032918.1","DNA polymerase alpha catalytic subunit")</f>
        <v>DNA polymerase alpha catalytic subunit</v>
      </c>
      <c r="I28" t="s">
        <v>266</v>
      </c>
      <c r="J28" t="s">
        <v>69</v>
      </c>
      <c r="K28">
        <v>614</v>
      </c>
      <c r="L28" t="s">
        <v>119</v>
      </c>
      <c r="M28" t="s">
        <v>69</v>
      </c>
      <c r="N28" t="s">
        <v>120</v>
      </c>
      <c r="O28" t="s">
        <v>69</v>
      </c>
      <c r="P28">
        <v>147.131</v>
      </c>
      <c r="Q28" t="s">
        <v>69</v>
      </c>
      <c r="R28" t="s">
        <v>69</v>
      </c>
      <c r="S28">
        <v>617</v>
      </c>
      <c r="T28" t="s">
        <v>73</v>
      </c>
      <c r="U28" t="s">
        <v>69</v>
      </c>
      <c r="V28" t="s">
        <v>71</v>
      </c>
      <c r="W28" t="s">
        <v>69</v>
      </c>
      <c r="X28">
        <v>89.093999999999994</v>
      </c>
      <c r="Y28" t="s">
        <v>69</v>
      </c>
      <c r="Z28" t="s">
        <v>69</v>
      </c>
      <c r="AA28">
        <v>620</v>
      </c>
      <c r="AB28" t="s">
        <v>74</v>
      </c>
      <c r="AC28" t="s">
        <v>69</v>
      </c>
      <c r="AD28" t="s">
        <v>75</v>
      </c>
      <c r="AE28" t="s">
        <v>69</v>
      </c>
      <c r="AF28">
        <v>174.203</v>
      </c>
      <c r="AG28" t="s">
        <v>69</v>
      </c>
      <c r="AH28" t="s">
        <v>69</v>
      </c>
      <c r="AI28">
        <v>621</v>
      </c>
      <c r="AJ28" t="s">
        <v>149</v>
      </c>
      <c r="AK28" t="s">
        <v>69</v>
      </c>
      <c r="AL28" t="s">
        <v>150</v>
      </c>
      <c r="AM28" t="s">
        <v>69</v>
      </c>
      <c r="AN28">
        <v>119.119</v>
      </c>
      <c r="AO28" t="s">
        <v>69</v>
      </c>
      <c r="AP28" t="s">
        <v>69</v>
      </c>
      <c r="AQ28">
        <v>659</v>
      </c>
      <c r="AR28" t="s">
        <v>76</v>
      </c>
      <c r="AS28" t="s">
        <v>69</v>
      </c>
      <c r="AT28" t="s">
        <v>75</v>
      </c>
      <c r="AU28" t="s">
        <v>69</v>
      </c>
      <c r="AV28">
        <v>146.18899999999999</v>
      </c>
      <c r="AW28" t="s">
        <v>69</v>
      </c>
      <c r="AX28" t="s">
        <v>69</v>
      </c>
    </row>
    <row r="29" spans="1:50" x14ac:dyDescent="0.25">
      <c r="A29">
        <v>7</v>
      </c>
      <c r="B29" t="str">
        <f>HYPERLINK("http://www.ncbi.nlm.nih.gov/protein/CAD7681867.1","CAD7681867.1")</f>
        <v>CAD7681867.1</v>
      </c>
      <c r="C29">
        <v>27271</v>
      </c>
      <c r="D29" t="str">
        <f>HYPERLINK("http://www.ncbi.nlm.nih.gov/Taxonomy/Browser/wwwtax.cgi?mode=Info&amp;id=34880&amp;lvl=3&amp;lin=f&amp;keep=1&amp;srchmode=1&amp;unlock","34880")</f>
        <v>34880</v>
      </c>
      <c r="E29" t="s">
        <v>66</v>
      </c>
      <c r="F29" t="str">
        <f>HYPERLINK("http://www.ncbi.nlm.nih.gov/Taxonomy/Browser/wwwtax.cgi?mode=Info&amp;id=34880&amp;lvl=3&amp;lin=f&amp;keep=1&amp;srchmode=1&amp;unlock","Nyctereutes procyonoides")</f>
        <v>Nyctereutes procyonoides</v>
      </c>
      <c r="G29" t="s">
        <v>92</v>
      </c>
      <c r="H29" t="str">
        <f>HYPERLINK("http://www.ncbi.nlm.nih.gov/protein/CAD7681867.1","unnamed protein product")</f>
        <v>unnamed protein product</v>
      </c>
      <c r="I29" t="s">
        <v>266</v>
      </c>
      <c r="J29" t="s">
        <v>69</v>
      </c>
      <c r="K29">
        <v>616</v>
      </c>
      <c r="L29" t="s">
        <v>119</v>
      </c>
      <c r="M29" t="s">
        <v>69</v>
      </c>
      <c r="N29" t="s">
        <v>120</v>
      </c>
      <c r="O29" t="s">
        <v>69</v>
      </c>
      <c r="P29">
        <v>147.131</v>
      </c>
      <c r="Q29" t="s">
        <v>69</v>
      </c>
      <c r="R29" t="s">
        <v>69</v>
      </c>
      <c r="S29">
        <v>619</v>
      </c>
      <c r="T29" t="s">
        <v>73</v>
      </c>
      <c r="U29" t="s">
        <v>69</v>
      </c>
      <c r="V29" t="s">
        <v>71</v>
      </c>
      <c r="W29" t="s">
        <v>69</v>
      </c>
      <c r="X29">
        <v>89.093999999999994</v>
      </c>
      <c r="Y29" t="s">
        <v>69</v>
      </c>
      <c r="Z29" t="s">
        <v>69</v>
      </c>
      <c r="AA29">
        <v>622</v>
      </c>
      <c r="AB29" t="s">
        <v>74</v>
      </c>
      <c r="AC29" t="s">
        <v>69</v>
      </c>
      <c r="AD29" t="s">
        <v>75</v>
      </c>
      <c r="AE29" t="s">
        <v>69</v>
      </c>
      <c r="AF29">
        <v>174.203</v>
      </c>
      <c r="AG29" t="s">
        <v>69</v>
      </c>
      <c r="AH29" t="s">
        <v>69</v>
      </c>
      <c r="AI29">
        <v>623</v>
      </c>
      <c r="AJ29" t="s">
        <v>149</v>
      </c>
      <c r="AK29" t="s">
        <v>69</v>
      </c>
      <c r="AL29" t="s">
        <v>150</v>
      </c>
      <c r="AM29" t="s">
        <v>69</v>
      </c>
      <c r="AN29">
        <v>119.119</v>
      </c>
      <c r="AO29" t="s">
        <v>69</v>
      </c>
      <c r="AP29" t="s">
        <v>69</v>
      </c>
      <c r="AQ29">
        <v>661</v>
      </c>
      <c r="AR29" t="s">
        <v>76</v>
      </c>
      <c r="AS29" t="s">
        <v>69</v>
      </c>
      <c r="AT29" t="s">
        <v>75</v>
      </c>
      <c r="AU29" t="s">
        <v>69</v>
      </c>
      <c r="AV29">
        <v>146.18899999999999</v>
      </c>
      <c r="AW29" t="s">
        <v>69</v>
      </c>
      <c r="AX29" t="s">
        <v>69</v>
      </c>
    </row>
    <row r="30" spans="1:50" x14ac:dyDescent="0.25">
      <c r="A30">
        <v>7</v>
      </c>
      <c r="B30" t="str">
        <f>HYPERLINK("http://www.ncbi.nlm.nih.gov/protein/XP_005503767.1","XP_005503767.1")</f>
        <v>XP_005503767.1</v>
      </c>
      <c r="C30">
        <v>50957</v>
      </c>
      <c r="D30" t="str">
        <f>HYPERLINK("http://www.ncbi.nlm.nih.gov/Taxonomy/Browser/wwwtax.cgi?mode=Info&amp;id=8932&amp;lvl=3&amp;lin=f&amp;keep=1&amp;srchmode=1&amp;unlock","8932")</f>
        <v>8932</v>
      </c>
      <c r="E30" t="s">
        <v>107</v>
      </c>
      <c r="F30" t="str">
        <f>HYPERLINK("http://www.ncbi.nlm.nih.gov/Taxonomy/Browser/wwwtax.cgi?mode=Info&amp;id=8932&amp;lvl=3&amp;lin=f&amp;keep=1&amp;srchmode=1&amp;unlock","Columba livia")</f>
        <v>Columba livia</v>
      </c>
      <c r="G30" t="s">
        <v>108</v>
      </c>
      <c r="H30" t="str">
        <f>HYPERLINK("http://www.ncbi.nlm.nih.gov/protein/XP_005503767.1","DNA polymerase alpha catalytic subunit isoform X1")</f>
        <v>DNA polymerase alpha catalytic subunit isoform X1</v>
      </c>
      <c r="I30" t="s">
        <v>266</v>
      </c>
      <c r="J30" t="s">
        <v>69</v>
      </c>
      <c r="K30">
        <v>629</v>
      </c>
      <c r="L30" t="s">
        <v>119</v>
      </c>
      <c r="M30" t="s">
        <v>69</v>
      </c>
      <c r="N30" t="s">
        <v>120</v>
      </c>
      <c r="O30" t="s">
        <v>69</v>
      </c>
      <c r="P30">
        <v>147.131</v>
      </c>
      <c r="Q30" t="s">
        <v>69</v>
      </c>
      <c r="R30" t="s">
        <v>69</v>
      </c>
      <c r="S30">
        <v>632</v>
      </c>
      <c r="T30" t="s">
        <v>73</v>
      </c>
      <c r="U30" t="s">
        <v>69</v>
      </c>
      <c r="V30" t="s">
        <v>71</v>
      </c>
      <c r="W30" t="s">
        <v>69</v>
      </c>
      <c r="X30">
        <v>89.093999999999994</v>
      </c>
      <c r="Y30" t="s">
        <v>69</v>
      </c>
      <c r="Z30" t="s">
        <v>69</v>
      </c>
      <c r="AA30">
        <v>635</v>
      </c>
      <c r="AB30" t="s">
        <v>74</v>
      </c>
      <c r="AC30" t="s">
        <v>69</v>
      </c>
      <c r="AD30" t="s">
        <v>75</v>
      </c>
      <c r="AE30" t="s">
        <v>69</v>
      </c>
      <c r="AF30">
        <v>174.203</v>
      </c>
      <c r="AG30" t="s">
        <v>69</v>
      </c>
      <c r="AH30" t="s">
        <v>69</v>
      </c>
      <c r="AI30">
        <v>636</v>
      </c>
      <c r="AJ30" t="s">
        <v>149</v>
      </c>
      <c r="AK30" t="s">
        <v>69</v>
      </c>
      <c r="AL30" t="s">
        <v>150</v>
      </c>
      <c r="AM30" t="s">
        <v>69</v>
      </c>
      <c r="AN30">
        <v>119.119</v>
      </c>
      <c r="AO30" t="s">
        <v>69</v>
      </c>
      <c r="AP30" t="s">
        <v>69</v>
      </c>
      <c r="AQ30">
        <v>674</v>
      </c>
      <c r="AR30" t="s">
        <v>76</v>
      </c>
      <c r="AS30" t="s">
        <v>69</v>
      </c>
      <c r="AT30" t="s">
        <v>75</v>
      </c>
      <c r="AU30" t="s">
        <v>69</v>
      </c>
      <c r="AV30">
        <v>146.18899999999999</v>
      </c>
      <c r="AW30" t="s">
        <v>69</v>
      </c>
      <c r="AX30" t="s">
        <v>69</v>
      </c>
    </row>
    <row r="31" spans="1:50" x14ac:dyDescent="0.25">
      <c r="A31">
        <v>7</v>
      </c>
      <c r="B31" t="str">
        <f>HYPERLINK("http://www.ncbi.nlm.nih.gov/protein/XP_006019630.1","XP_006019630.1")</f>
        <v>XP_006019630.1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HYPERLINK("http://www.ncbi.nlm.nih.gov/protein/XP_006019630.1","DNA polymerase alpha catalytic subunit")</f>
        <v>DNA polymerase alpha catalytic subunit</v>
      </c>
      <c r="I31" t="s">
        <v>266</v>
      </c>
      <c r="J31" t="s">
        <v>69</v>
      </c>
      <c r="K31">
        <v>626</v>
      </c>
      <c r="L31" t="s">
        <v>119</v>
      </c>
      <c r="M31" t="s">
        <v>69</v>
      </c>
      <c r="N31" t="s">
        <v>120</v>
      </c>
      <c r="O31" t="s">
        <v>69</v>
      </c>
      <c r="P31">
        <v>147.131</v>
      </c>
      <c r="Q31" t="s">
        <v>69</v>
      </c>
      <c r="R31" t="s">
        <v>69</v>
      </c>
      <c r="S31">
        <v>629</v>
      </c>
      <c r="T31" t="s">
        <v>73</v>
      </c>
      <c r="U31" t="s">
        <v>69</v>
      </c>
      <c r="V31" t="s">
        <v>71</v>
      </c>
      <c r="W31" t="s">
        <v>69</v>
      </c>
      <c r="X31">
        <v>89.093999999999994</v>
      </c>
      <c r="Y31" t="s">
        <v>69</v>
      </c>
      <c r="Z31" t="s">
        <v>69</v>
      </c>
      <c r="AA31">
        <v>632</v>
      </c>
      <c r="AB31" t="s">
        <v>74</v>
      </c>
      <c r="AC31" t="s">
        <v>69</v>
      </c>
      <c r="AD31" t="s">
        <v>75</v>
      </c>
      <c r="AE31" t="s">
        <v>69</v>
      </c>
      <c r="AF31">
        <v>174.203</v>
      </c>
      <c r="AG31" t="s">
        <v>69</v>
      </c>
      <c r="AH31" t="s">
        <v>69</v>
      </c>
      <c r="AI31">
        <v>633</v>
      </c>
      <c r="AJ31" t="s">
        <v>149</v>
      </c>
      <c r="AK31" t="s">
        <v>69</v>
      </c>
      <c r="AL31" t="s">
        <v>150</v>
      </c>
      <c r="AM31" t="s">
        <v>69</v>
      </c>
      <c r="AN31">
        <v>119.119</v>
      </c>
      <c r="AO31" t="s">
        <v>69</v>
      </c>
      <c r="AP31" t="s">
        <v>69</v>
      </c>
      <c r="AQ31">
        <v>671</v>
      </c>
      <c r="AR31" t="s">
        <v>76</v>
      </c>
      <c r="AS31" t="s">
        <v>69</v>
      </c>
      <c r="AT31" t="s">
        <v>75</v>
      </c>
      <c r="AU31" t="s">
        <v>69</v>
      </c>
      <c r="AV31">
        <v>146.18899999999999</v>
      </c>
      <c r="AW31" t="s">
        <v>69</v>
      </c>
      <c r="AX31" t="s">
        <v>69</v>
      </c>
    </row>
    <row r="32" spans="1:50" x14ac:dyDescent="0.25">
      <c r="A32">
        <v>7</v>
      </c>
      <c r="B32" t="str">
        <f>HYPERLINK("http://www.ncbi.nlm.nih.gov/protein/NP_001082055.1","NP_001082055.1")</f>
        <v>NP_001082055.1</v>
      </c>
      <c r="C32">
        <v>146185</v>
      </c>
      <c r="D32" t="str">
        <f>HYPERLINK("http://www.ncbi.nlm.nih.gov/Taxonomy/Browser/wwwtax.cgi?mode=Info&amp;id=8355&amp;lvl=3&amp;lin=f&amp;keep=1&amp;srchmode=1&amp;unlock","8355")</f>
        <v>8355</v>
      </c>
      <c r="E32" t="s">
        <v>111</v>
      </c>
      <c r="F32" t="str">
        <f>HYPERLINK("http://www.ncbi.nlm.nih.gov/Taxonomy/Browser/wwwtax.cgi?mode=Info&amp;id=8355&amp;lvl=3&amp;lin=f&amp;keep=1&amp;srchmode=1&amp;unlock","Xenopus laevis")</f>
        <v>Xenopus laevis</v>
      </c>
      <c r="G32" t="s">
        <v>112</v>
      </c>
      <c r="H32" t="str">
        <f>HYPERLINK("http://www.ncbi.nlm.nih.gov/protein/NP_001082055.1","DNA polymerase alpha catalytic subunit")</f>
        <v>DNA polymerase alpha catalytic subunit</v>
      </c>
      <c r="I32" t="s">
        <v>266</v>
      </c>
      <c r="J32" t="s">
        <v>69</v>
      </c>
      <c r="K32">
        <v>610</v>
      </c>
      <c r="L32" t="s">
        <v>119</v>
      </c>
      <c r="M32" t="s">
        <v>69</v>
      </c>
      <c r="N32" t="s">
        <v>120</v>
      </c>
      <c r="O32" t="s">
        <v>69</v>
      </c>
      <c r="P32">
        <v>147.131</v>
      </c>
      <c r="Q32" t="s">
        <v>69</v>
      </c>
      <c r="R32" t="s">
        <v>69</v>
      </c>
      <c r="S32">
        <v>613</v>
      </c>
      <c r="T32" t="s">
        <v>72</v>
      </c>
      <c r="U32" t="s">
        <v>153</v>
      </c>
      <c r="V32" t="s">
        <v>71</v>
      </c>
      <c r="W32" t="s">
        <v>69</v>
      </c>
      <c r="X32">
        <v>131.17500000000001</v>
      </c>
      <c r="Y32" t="s">
        <v>153</v>
      </c>
      <c r="Z32" t="s">
        <v>69</v>
      </c>
      <c r="AA32">
        <v>616</v>
      </c>
      <c r="AB32" t="s">
        <v>74</v>
      </c>
      <c r="AC32" t="s">
        <v>69</v>
      </c>
      <c r="AD32" t="s">
        <v>75</v>
      </c>
      <c r="AE32" t="s">
        <v>69</v>
      </c>
      <c r="AF32">
        <v>174.203</v>
      </c>
      <c r="AG32" t="s">
        <v>69</v>
      </c>
      <c r="AH32" t="s">
        <v>69</v>
      </c>
      <c r="AI32">
        <v>617</v>
      </c>
      <c r="AJ32" t="s">
        <v>149</v>
      </c>
      <c r="AK32" t="s">
        <v>69</v>
      </c>
      <c r="AL32" t="s">
        <v>150</v>
      </c>
      <c r="AM32" t="s">
        <v>69</v>
      </c>
      <c r="AN32">
        <v>119.119</v>
      </c>
      <c r="AO32" t="s">
        <v>69</v>
      </c>
      <c r="AP32" t="s">
        <v>69</v>
      </c>
      <c r="AQ32">
        <v>655</v>
      </c>
      <c r="AR32" t="s">
        <v>76</v>
      </c>
      <c r="AS32" t="s">
        <v>69</v>
      </c>
      <c r="AT32" t="s">
        <v>75</v>
      </c>
      <c r="AU32" t="s">
        <v>69</v>
      </c>
      <c r="AV32">
        <v>146.18899999999999</v>
      </c>
      <c r="AW32" t="s">
        <v>69</v>
      </c>
      <c r="AX32" t="s">
        <v>69</v>
      </c>
    </row>
    <row r="33" spans="1:50" x14ac:dyDescent="0.25">
      <c r="A33">
        <v>7</v>
      </c>
      <c r="B33" t="str">
        <f>HYPERLINK("http://www.ncbi.nlm.nih.gov/protein/XP_039540873.1","XP_039540873.1")</f>
        <v>XP_039540873.1</v>
      </c>
      <c r="C33">
        <v>96114</v>
      </c>
      <c r="D33" t="str">
        <f>HYPERLINK("http://www.ncbi.nlm.nih.gov/Taxonomy/Browser/wwwtax.cgi?mode=Info&amp;id=90988&amp;lvl=3&amp;lin=f&amp;keep=1&amp;srchmode=1&amp;unlock","90988")</f>
        <v>90988</v>
      </c>
      <c r="E33" t="s">
        <v>113</v>
      </c>
      <c r="F33" t="str">
        <f>HYPERLINK("http://www.ncbi.nlm.nih.gov/Taxonomy/Browser/wwwtax.cgi?mode=Info&amp;id=90988&amp;lvl=3&amp;lin=f&amp;keep=1&amp;srchmode=1&amp;unlock","Pimephales promelas")</f>
        <v>Pimephales promelas</v>
      </c>
      <c r="G33" t="s">
        <v>114</v>
      </c>
      <c r="H33" t="str">
        <f>HYPERLINK("http://www.ncbi.nlm.nih.gov/protein/XP_039540873.1","DNA polymerase alpha catalytic subunit isoform X1")</f>
        <v>DNA polymerase alpha catalytic subunit isoform X1</v>
      </c>
      <c r="I33" t="s">
        <v>266</v>
      </c>
      <c r="J33" t="s">
        <v>153</v>
      </c>
      <c r="K33">
        <v>622</v>
      </c>
      <c r="L33" t="s">
        <v>119</v>
      </c>
      <c r="M33" t="s">
        <v>69</v>
      </c>
      <c r="N33" t="s">
        <v>120</v>
      </c>
      <c r="O33" t="s">
        <v>69</v>
      </c>
      <c r="P33">
        <v>147.131</v>
      </c>
      <c r="Q33" t="s">
        <v>69</v>
      </c>
      <c r="R33" t="s">
        <v>69</v>
      </c>
      <c r="S33">
        <v>625</v>
      </c>
      <c r="T33" t="s">
        <v>70</v>
      </c>
      <c r="U33" t="s">
        <v>153</v>
      </c>
      <c r="V33" t="s">
        <v>71</v>
      </c>
      <c r="W33" t="s">
        <v>69</v>
      </c>
      <c r="X33">
        <v>75.066999999999993</v>
      </c>
      <c r="Y33" t="s">
        <v>69</v>
      </c>
      <c r="Z33" t="s">
        <v>69</v>
      </c>
      <c r="AA33">
        <v>628</v>
      </c>
      <c r="AB33" t="s">
        <v>74</v>
      </c>
      <c r="AC33" t="s">
        <v>69</v>
      </c>
      <c r="AD33" t="s">
        <v>75</v>
      </c>
      <c r="AE33" t="s">
        <v>69</v>
      </c>
      <c r="AF33">
        <v>174.203</v>
      </c>
      <c r="AG33" t="s">
        <v>69</v>
      </c>
      <c r="AH33" t="s">
        <v>69</v>
      </c>
      <c r="AI33">
        <v>629</v>
      </c>
      <c r="AJ33" t="s">
        <v>73</v>
      </c>
      <c r="AK33" t="s">
        <v>153</v>
      </c>
      <c r="AL33" t="s">
        <v>71</v>
      </c>
      <c r="AM33" t="s">
        <v>153</v>
      </c>
      <c r="AN33">
        <v>89.093999999999994</v>
      </c>
      <c r="AO33" t="s">
        <v>153</v>
      </c>
      <c r="AP33" t="s">
        <v>153</v>
      </c>
      <c r="AQ33">
        <v>667</v>
      </c>
      <c r="AR33" t="s">
        <v>76</v>
      </c>
      <c r="AS33" t="s">
        <v>69</v>
      </c>
      <c r="AT33" t="s">
        <v>75</v>
      </c>
      <c r="AU33" t="s">
        <v>69</v>
      </c>
      <c r="AV33">
        <v>146.18899999999999</v>
      </c>
      <c r="AW33" t="s">
        <v>69</v>
      </c>
      <c r="AX33" t="s">
        <v>69</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3"/>
  <sheetViews>
    <sheetView workbookViewId="0"/>
  </sheetViews>
  <sheetFormatPr defaultRowHeight="15" x14ac:dyDescent="0.25"/>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row>
    <row r="2" spans="1:74" x14ac:dyDescent="0.25">
      <c r="A2">
        <v>7</v>
      </c>
      <c r="B2" t="str">
        <f>HYPERLINK("http://www.ncbi.nlm.nih.gov/protein/NP_058633.2","NP_058633.2")</f>
        <v>NP_058633.2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HYPERLINK("http://www.ncbi.nlm.nih.gov/protein/NP_058633.2","DNA polymerase alpha catalytic subunit isoform 2")</f>
        <v>DNA polymerase alpha catalytic subunit isoform 2</v>
      </c>
      <c r="I2" t="s">
        <v>266</v>
      </c>
      <c r="J2" t="s">
        <v>69</v>
      </c>
      <c r="K2">
        <v>594</v>
      </c>
      <c r="L2" t="s">
        <v>151</v>
      </c>
      <c r="M2" t="s">
        <v>69</v>
      </c>
      <c r="N2" t="s">
        <v>152</v>
      </c>
      <c r="O2" t="s">
        <v>69</v>
      </c>
      <c r="P2">
        <v>165.19200000000001</v>
      </c>
      <c r="Q2" t="s">
        <v>69</v>
      </c>
      <c r="R2" t="s">
        <v>69</v>
      </c>
      <c r="S2">
        <v>611</v>
      </c>
      <c r="T2" t="s">
        <v>115</v>
      </c>
      <c r="U2" t="s">
        <v>69</v>
      </c>
      <c r="V2" t="s">
        <v>71</v>
      </c>
      <c r="W2" t="s">
        <v>69</v>
      </c>
      <c r="X2">
        <v>117.148</v>
      </c>
      <c r="Y2" t="s">
        <v>69</v>
      </c>
      <c r="Z2" t="s">
        <v>69</v>
      </c>
      <c r="AA2">
        <v>614</v>
      </c>
      <c r="AB2" t="s">
        <v>149</v>
      </c>
      <c r="AC2" t="s">
        <v>69</v>
      </c>
      <c r="AD2" t="s">
        <v>150</v>
      </c>
      <c r="AE2" t="s">
        <v>69</v>
      </c>
      <c r="AF2">
        <v>119.119</v>
      </c>
      <c r="AG2" t="s">
        <v>69</v>
      </c>
      <c r="AH2" t="s">
        <v>69</v>
      </c>
      <c r="AI2">
        <v>620</v>
      </c>
      <c r="AJ2" t="s">
        <v>70</v>
      </c>
      <c r="AK2" t="s">
        <v>69</v>
      </c>
      <c r="AL2" t="s">
        <v>71</v>
      </c>
      <c r="AM2" t="s">
        <v>69</v>
      </c>
      <c r="AN2">
        <v>75.066999999999993</v>
      </c>
      <c r="AO2" t="s">
        <v>69</v>
      </c>
      <c r="AP2" t="s">
        <v>69</v>
      </c>
      <c r="AQ2">
        <v>621</v>
      </c>
      <c r="AR2" t="s">
        <v>151</v>
      </c>
      <c r="AS2" t="s">
        <v>69</v>
      </c>
      <c r="AT2" t="s">
        <v>152</v>
      </c>
      <c r="AU2" t="s">
        <v>69</v>
      </c>
      <c r="AV2">
        <v>165.19200000000001</v>
      </c>
      <c r="AW2" t="s">
        <v>69</v>
      </c>
      <c r="AX2" t="s">
        <v>69</v>
      </c>
      <c r="AY2">
        <v>624</v>
      </c>
      <c r="AZ2" t="s">
        <v>73</v>
      </c>
      <c r="BA2" t="s">
        <v>69</v>
      </c>
      <c r="BB2" t="s">
        <v>71</v>
      </c>
      <c r="BC2" t="s">
        <v>69</v>
      </c>
      <c r="BD2">
        <v>89.093999999999994</v>
      </c>
      <c r="BE2" t="s">
        <v>69</v>
      </c>
      <c r="BF2" t="s">
        <v>69</v>
      </c>
      <c r="BG2">
        <v>625</v>
      </c>
      <c r="BH2" t="s">
        <v>76</v>
      </c>
      <c r="BI2" t="s">
        <v>69</v>
      </c>
      <c r="BJ2" t="s">
        <v>75</v>
      </c>
      <c r="BK2" t="s">
        <v>69</v>
      </c>
      <c r="BL2">
        <v>146.18899999999999</v>
      </c>
      <c r="BM2" t="s">
        <v>69</v>
      </c>
      <c r="BN2" t="s">
        <v>69</v>
      </c>
      <c r="BO2">
        <v>657</v>
      </c>
      <c r="BP2" t="s">
        <v>146</v>
      </c>
      <c r="BQ2" t="s">
        <v>69</v>
      </c>
      <c r="BR2" t="s">
        <v>71</v>
      </c>
      <c r="BS2" t="s">
        <v>69</v>
      </c>
      <c r="BT2">
        <v>115.13200000000001</v>
      </c>
      <c r="BU2" t="s">
        <v>69</v>
      </c>
      <c r="BV2" t="s">
        <v>69</v>
      </c>
    </row>
    <row r="3" spans="1:74" x14ac:dyDescent="0.25">
      <c r="A3">
        <v>7</v>
      </c>
      <c r="B3" t="str">
        <f>HYPERLINK("http://www.ncbi.nlm.nih.gov/protein/XP_030861626.1","XP_030861626.1")</f>
        <v>XP_030861626.1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HYPERLINK("http://www.ncbi.nlm.nih.gov/protein/XP_030861626.1","DNA polymerase alpha catalytic subunit isoform X2")</f>
        <v>DNA polymerase alpha catalytic subunit isoform X2</v>
      </c>
      <c r="I3" t="s">
        <v>266</v>
      </c>
      <c r="J3" t="s">
        <v>69</v>
      </c>
      <c r="K3">
        <v>594</v>
      </c>
      <c r="L3" t="s">
        <v>151</v>
      </c>
      <c r="M3" t="s">
        <v>69</v>
      </c>
      <c r="N3" t="s">
        <v>152</v>
      </c>
      <c r="O3" t="s">
        <v>69</v>
      </c>
      <c r="P3">
        <v>165.19200000000001</v>
      </c>
      <c r="Q3" t="s">
        <v>69</v>
      </c>
      <c r="R3" t="s">
        <v>69</v>
      </c>
      <c r="S3">
        <v>611</v>
      </c>
      <c r="T3" t="s">
        <v>115</v>
      </c>
      <c r="U3" t="s">
        <v>69</v>
      </c>
      <c r="V3" t="s">
        <v>71</v>
      </c>
      <c r="W3" t="s">
        <v>69</v>
      </c>
      <c r="X3">
        <v>117.148</v>
      </c>
      <c r="Y3" t="s">
        <v>69</v>
      </c>
      <c r="Z3" t="s">
        <v>69</v>
      </c>
      <c r="AA3">
        <v>614</v>
      </c>
      <c r="AB3" t="s">
        <v>149</v>
      </c>
      <c r="AC3" t="s">
        <v>69</v>
      </c>
      <c r="AD3" t="s">
        <v>150</v>
      </c>
      <c r="AE3" t="s">
        <v>69</v>
      </c>
      <c r="AF3">
        <v>119.119</v>
      </c>
      <c r="AG3" t="s">
        <v>69</v>
      </c>
      <c r="AH3" t="s">
        <v>69</v>
      </c>
      <c r="AI3">
        <v>620</v>
      </c>
      <c r="AJ3" t="s">
        <v>70</v>
      </c>
      <c r="AK3" t="s">
        <v>69</v>
      </c>
      <c r="AL3" t="s">
        <v>71</v>
      </c>
      <c r="AM3" t="s">
        <v>69</v>
      </c>
      <c r="AN3">
        <v>75.066999999999993</v>
      </c>
      <c r="AO3" t="s">
        <v>69</v>
      </c>
      <c r="AP3" t="s">
        <v>69</v>
      </c>
      <c r="AQ3">
        <v>621</v>
      </c>
      <c r="AR3" t="s">
        <v>151</v>
      </c>
      <c r="AS3" t="s">
        <v>69</v>
      </c>
      <c r="AT3" t="s">
        <v>152</v>
      </c>
      <c r="AU3" t="s">
        <v>69</v>
      </c>
      <c r="AV3">
        <v>165.19200000000001</v>
      </c>
      <c r="AW3" t="s">
        <v>69</v>
      </c>
      <c r="AX3" t="s">
        <v>69</v>
      </c>
      <c r="AY3">
        <v>624</v>
      </c>
      <c r="AZ3" t="s">
        <v>73</v>
      </c>
      <c r="BA3" t="s">
        <v>69</v>
      </c>
      <c r="BB3" t="s">
        <v>71</v>
      </c>
      <c r="BC3" t="s">
        <v>69</v>
      </c>
      <c r="BD3">
        <v>89.093999999999994</v>
      </c>
      <c r="BE3" t="s">
        <v>69</v>
      </c>
      <c r="BF3" t="s">
        <v>69</v>
      </c>
      <c r="BG3">
        <v>625</v>
      </c>
      <c r="BH3" t="s">
        <v>76</v>
      </c>
      <c r="BI3" t="s">
        <v>69</v>
      </c>
      <c r="BJ3" t="s">
        <v>75</v>
      </c>
      <c r="BK3" t="s">
        <v>69</v>
      </c>
      <c r="BL3">
        <v>146.18899999999999</v>
      </c>
      <c r="BM3" t="s">
        <v>69</v>
      </c>
      <c r="BN3" t="s">
        <v>69</v>
      </c>
      <c r="BO3">
        <v>657</v>
      </c>
      <c r="BP3" t="s">
        <v>146</v>
      </c>
      <c r="BQ3" t="s">
        <v>69</v>
      </c>
      <c r="BR3" t="s">
        <v>71</v>
      </c>
      <c r="BS3" t="s">
        <v>69</v>
      </c>
      <c r="BT3">
        <v>115.13200000000001</v>
      </c>
      <c r="BU3" t="s">
        <v>69</v>
      </c>
      <c r="BV3" t="s">
        <v>69</v>
      </c>
    </row>
    <row r="4" spans="1:74" x14ac:dyDescent="0.25">
      <c r="A4">
        <v>7</v>
      </c>
      <c r="B4" t="str">
        <f>HYPERLINK("http://www.ncbi.nlm.nih.gov/protein/XP_007989513.1","XP_007989513.1")</f>
        <v>XP_007989513.1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HYPERLINK("http://www.ncbi.nlm.nih.gov/protein/XP_007989513.1","DNA polymerase alpha catalytic subunit isoform X1")</f>
        <v>DNA polymerase alpha catalytic subunit isoform X1</v>
      </c>
      <c r="I4" t="s">
        <v>266</v>
      </c>
      <c r="J4" t="s">
        <v>69</v>
      </c>
      <c r="K4">
        <v>655</v>
      </c>
      <c r="L4" t="s">
        <v>151</v>
      </c>
      <c r="M4" t="s">
        <v>69</v>
      </c>
      <c r="N4" t="s">
        <v>152</v>
      </c>
      <c r="O4" t="s">
        <v>69</v>
      </c>
      <c r="P4">
        <v>165.19200000000001</v>
      </c>
      <c r="Q4" t="s">
        <v>69</v>
      </c>
      <c r="R4" t="s">
        <v>69</v>
      </c>
      <c r="S4">
        <v>672</v>
      </c>
      <c r="T4" t="s">
        <v>115</v>
      </c>
      <c r="U4" t="s">
        <v>69</v>
      </c>
      <c r="V4" t="s">
        <v>71</v>
      </c>
      <c r="W4" t="s">
        <v>69</v>
      </c>
      <c r="X4">
        <v>117.148</v>
      </c>
      <c r="Y4" t="s">
        <v>69</v>
      </c>
      <c r="Z4" t="s">
        <v>69</v>
      </c>
      <c r="AA4">
        <v>675</v>
      </c>
      <c r="AB4" t="s">
        <v>149</v>
      </c>
      <c r="AC4" t="s">
        <v>69</v>
      </c>
      <c r="AD4" t="s">
        <v>150</v>
      </c>
      <c r="AE4" t="s">
        <v>69</v>
      </c>
      <c r="AF4">
        <v>119.119</v>
      </c>
      <c r="AG4" t="s">
        <v>69</v>
      </c>
      <c r="AH4" t="s">
        <v>69</v>
      </c>
      <c r="AI4">
        <v>681</v>
      </c>
      <c r="AJ4" t="s">
        <v>70</v>
      </c>
      <c r="AK4" t="s">
        <v>69</v>
      </c>
      <c r="AL4" t="s">
        <v>71</v>
      </c>
      <c r="AM4" t="s">
        <v>69</v>
      </c>
      <c r="AN4">
        <v>75.066999999999993</v>
      </c>
      <c r="AO4" t="s">
        <v>69</v>
      </c>
      <c r="AP4" t="s">
        <v>69</v>
      </c>
      <c r="AQ4">
        <v>682</v>
      </c>
      <c r="AR4" t="s">
        <v>151</v>
      </c>
      <c r="AS4" t="s">
        <v>69</v>
      </c>
      <c r="AT4" t="s">
        <v>152</v>
      </c>
      <c r="AU4" t="s">
        <v>69</v>
      </c>
      <c r="AV4">
        <v>165.19200000000001</v>
      </c>
      <c r="AW4" t="s">
        <v>69</v>
      </c>
      <c r="AX4" t="s">
        <v>69</v>
      </c>
      <c r="AY4">
        <v>685</v>
      </c>
      <c r="AZ4" t="s">
        <v>73</v>
      </c>
      <c r="BA4" t="s">
        <v>69</v>
      </c>
      <c r="BB4" t="s">
        <v>71</v>
      </c>
      <c r="BC4" t="s">
        <v>69</v>
      </c>
      <c r="BD4">
        <v>89.093999999999994</v>
      </c>
      <c r="BE4" t="s">
        <v>69</v>
      </c>
      <c r="BF4" t="s">
        <v>69</v>
      </c>
      <c r="BG4">
        <v>686</v>
      </c>
      <c r="BH4" t="s">
        <v>76</v>
      </c>
      <c r="BI4" t="s">
        <v>69</v>
      </c>
      <c r="BJ4" t="s">
        <v>75</v>
      </c>
      <c r="BK4" t="s">
        <v>69</v>
      </c>
      <c r="BL4">
        <v>146.18899999999999</v>
      </c>
      <c r="BM4" t="s">
        <v>69</v>
      </c>
      <c r="BN4" t="s">
        <v>69</v>
      </c>
      <c r="BO4">
        <v>718</v>
      </c>
      <c r="BP4" t="s">
        <v>146</v>
      </c>
      <c r="BQ4" t="s">
        <v>69</v>
      </c>
      <c r="BR4" t="s">
        <v>71</v>
      </c>
      <c r="BS4" t="s">
        <v>69</v>
      </c>
      <c r="BT4">
        <v>115.13200000000001</v>
      </c>
      <c r="BU4" t="s">
        <v>69</v>
      </c>
      <c r="BV4" t="s">
        <v>69</v>
      </c>
    </row>
    <row r="5" spans="1:74" x14ac:dyDescent="0.25">
      <c r="A5">
        <v>7</v>
      </c>
      <c r="B5" t="str">
        <f>HYPERLINK("http://www.ncbi.nlm.nih.gov/protein/EHH30599.1","EHH30599.1")</f>
        <v>EHH30599.1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HYPERLINK("http://www.ncbi.nlm.nih.gov/protein/EHH30599.1","hypothetical protein EGK_20335")</f>
        <v>hypothetical protein EGK_20335</v>
      </c>
      <c r="I5" t="s">
        <v>266</v>
      </c>
      <c r="J5" t="s">
        <v>69</v>
      </c>
      <c r="K5">
        <v>600</v>
      </c>
      <c r="L5" t="s">
        <v>151</v>
      </c>
      <c r="M5" t="s">
        <v>69</v>
      </c>
      <c r="N5" t="s">
        <v>152</v>
      </c>
      <c r="O5" t="s">
        <v>69</v>
      </c>
      <c r="P5">
        <v>165.19200000000001</v>
      </c>
      <c r="Q5" t="s">
        <v>69</v>
      </c>
      <c r="R5" t="s">
        <v>69</v>
      </c>
      <c r="S5">
        <v>617</v>
      </c>
      <c r="T5" t="s">
        <v>115</v>
      </c>
      <c r="U5" t="s">
        <v>69</v>
      </c>
      <c r="V5" t="s">
        <v>71</v>
      </c>
      <c r="W5" t="s">
        <v>69</v>
      </c>
      <c r="X5">
        <v>117.148</v>
      </c>
      <c r="Y5" t="s">
        <v>69</v>
      </c>
      <c r="Z5" t="s">
        <v>69</v>
      </c>
      <c r="AA5">
        <v>620</v>
      </c>
      <c r="AB5" t="s">
        <v>149</v>
      </c>
      <c r="AC5" t="s">
        <v>69</v>
      </c>
      <c r="AD5" t="s">
        <v>150</v>
      </c>
      <c r="AE5" t="s">
        <v>69</v>
      </c>
      <c r="AF5">
        <v>119.119</v>
      </c>
      <c r="AG5" t="s">
        <v>69</v>
      </c>
      <c r="AH5" t="s">
        <v>69</v>
      </c>
      <c r="AI5">
        <v>626</v>
      </c>
      <c r="AJ5" t="s">
        <v>70</v>
      </c>
      <c r="AK5" t="s">
        <v>69</v>
      </c>
      <c r="AL5" t="s">
        <v>71</v>
      </c>
      <c r="AM5" t="s">
        <v>69</v>
      </c>
      <c r="AN5">
        <v>75.066999999999993</v>
      </c>
      <c r="AO5" t="s">
        <v>69</v>
      </c>
      <c r="AP5" t="s">
        <v>69</v>
      </c>
      <c r="AQ5">
        <v>627</v>
      </c>
      <c r="AR5" t="s">
        <v>151</v>
      </c>
      <c r="AS5" t="s">
        <v>69</v>
      </c>
      <c r="AT5" t="s">
        <v>152</v>
      </c>
      <c r="AU5" t="s">
        <v>69</v>
      </c>
      <c r="AV5">
        <v>165.19200000000001</v>
      </c>
      <c r="AW5" t="s">
        <v>69</v>
      </c>
      <c r="AX5" t="s">
        <v>69</v>
      </c>
      <c r="AY5">
        <v>630</v>
      </c>
      <c r="AZ5" t="s">
        <v>73</v>
      </c>
      <c r="BA5" t="s">
        <v>69</v>
      </c>
      <c r="BB5" t="s">
        <v>71</v>
      </c>
      <c r="BC5" t="s">
        <v>69</v>
      </c>
      <c r="BD5">
        <v>89.093999999999994</v>
      </c>
      <c r="BE5" t="s">
        <v>69</v>
      </c>
      <c r="BF5" t="s">
        <v>69</v>
      </c>
      <c r="BG5">
        <v>631</v>
      </c>
      <c r="BH5" t="s">
        <v>76</v>
      </c>
      <c r="BI5" t="s">
        <v>69</v>
      </c>
      <c r="BJ5" t="s">
        <v>75</v>
      </c>
      <c r="BK5" t="s">
        <v>69</v>
      </c>
      <c r="BL5">
        <v>146.18899999999999</v>
      </c>
      <c r="BM5" t="s">
        <v>69</v>
      </c>
      <c r="BN5" t="s">
        <v>69</v>
      </c>
      <c r="BO5">
        <v>663</v>
      </c>
      <c r="BP5" t="s">
        <v>146</v>
      </c>
      <c r="BQ5" t="s">
        <v>69</v>
      </c>
      <c r="BR5" t="s">
        <v>71</v>
      </c>
      <c r="BS5" t="s">
        <v>69</v>
      </c>
      <c r="BT5">
        <v>115.13200000000001</v>
      </c>
      <c r="BU5" t="s">
        <v>69</v>
      </c>
      <c r="BV5" t="s">
        <v>69</v>
      </c>
    </row>
    <row r="6" spans="1:74" x14ac:dyDescent="0.25">
      <c r="A6">
        <v>7</v>
      </c>
      <c r="B6" t="str">
        <f>HYPERLINK("http://www.ncbi.nlm.nih.gov/protein/XP_003917565.1","XP_003917565.1")</f>
        <v>XP_003917565.1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HYPERLINK("http://www.ncbi.nlm.nih.gov/protein/XP_003917565.1","DNA polymerase alpha catalytic subunit")</f>
        <v>DNA polymerase alpha catalytic subunit</v>
      </c>
      <c r="I6" t="s">
        <v>266</v>
      </c>
      <c r="J6" t="s">
        <v>69</v>
      </c>
      <c r="K6">
        <v>597</v>
      </c>
      <c r="L6" t="s">
        <v>151</v>
      </c>
      <c r="M6" t="s">
        <v>69</v>
      </c>
      <c r="N6" t="s">
        <v>152</v>
      </c>
      <c r="O6" t="s">
        <v>69</v>
      </c>
      <c r="P6">
        <v>165.19200000000001</v>
      </c>
      <c r="Q6" t="s">
        <v>69</v>
      </c>
      <c r="R6" t="s">
        <v>69</v>
      </c>
      <c r="S6">
        <v>614</v>
      </c>
      <c r="T6" t="s">
        <v>115</v>
      </c>
      <c r="U6" t="s">
        <v>69</v>
      </c>
      <c r="V6" t="s">
        <v>71</v>
      </c>
      <c r="W6" t="s">
        <v>69</v>
      </c>
      <c r="X6">
        <v>117.148</v>
      </c>
      <c r="Y6" t="s">
        <v>69</v>
      </c>
      <c r="Z6" t="s">
        <v>69</v>
      </c>
      <c r="AA6">
        <v>617</v>
      </c>
      <c r="AB6" t="s">
        <v>149</v>
      </c>
      <c r="AC6" t="s">
        <v>69</v>
      </c>
      <c r="AD6" t="s">
        <v>150</v>
      </c>
      <c r="AE6" t="s">
        <v>69</v>
      </c>
      <c r="AF6">
        <v>119.119</v>
      </c>
      <c r="AG6" t="s">
        <v>69</v>
      </c>
      <c r="AH6" t="s">
        <v>69</v>
      </c>
      <c r="AI6">
        <v>623</v>
      </c>
      <c r="AJ6" t="s">
        <v>70</v>
      </c>
      <c r="AK6" t="s">
        <v>69</v>
      </c>
      <c r="AL6" t="s">
        <v>71</v>
      </c>
      <c r="AM6" t="s">
        <v>69</v>
      </c>
      <c r="AN6">
        <v>75.066999999999993</v>
      </c>
      <c r="AO6" t="s">
        <v>69</v>
      </c>
      <c r="AP6" t="s">
        <v>69</v>
      </c>
      <c r="AQ6">
        <v>624</v>
      </c>
      <c r="AR6" t="s">
        <v>151</v>
      </c>
      <c r="AS6" t="s">
        <v>69</v>
      </c>
      <c r="AT6" t="s">
        <v>152</v>
      </c>
      <c r="AU6" t="s">
        <v>69</v>
      </c>
      <c r="AV6">
        <v>165.19200000000001</v>
      </c>
      <c r="AW6" t="s">
        <v>69</v>
      </c>
      <c r="AX6" t="s">
        <v>69</v>
      </c>
      <c r="AY6">
        <v>627</v>
      </c>
      <c r="AZ6" t="s">
        <v>73</v>
      </c>
      <c r="BA6" t="s">
        <v>69</v>
      </c>
      <c r="BB6" t="s">
        <v>71</v>
      </c>
      <c r="BC6" t="s">
        <v>69</v>
      </c>
      <c r="BD6">
        <v>89.093999999999994</v>
      </c>
      <c r="BE6" t="s">
        <v>69</v>
      </c>
      <c r="BF6" t="s">
        <v>69</v>
      </c>
      <c r="BG6">
        <v>628</v>
      </c>
      <c r="BH6" t="s">
        <v>76</v>
      </c>
      <c r="BI6" t="s">
        <v>69</v>
      </c>
      <c r="BJ6" t="s">
        <v>75</v>
      </c>
      <c r="BK6" t="s">
        <v>69</v>
      </c>
      <c r="BL6">
        <v>146.18899999999999</v>
      </c>
      <c r="BM6" t="s">
        <v>69</v>
      </c>
      <c r="BN6" t="s">
        <v>69</v>
      </c>
      <c r="BO6">
        <v>660</v>
      </c>
      <c r="BP6" t="s">
        <v>146</v>
      </c>
      <c r="BQ6" t="s">
        <v>69</v>
      </c>
      <c r="BR6" t="s">
        <v>71</v>
      </c>
      <c r="BS6" t="s">
        <v>69</v>
      </c>
      <c r="BT6">
        <v>115.13200000000001</v>
      </c>
      <c r="BU6" t="s">
        <v>69</v>
      </c>
      <c r="BV6" t="s">
        <v>69</v>
      </c>
    </row>
    <row r="7" spans="1:74" x14ac:dyDescent="0.25">
      <c r="A7">
        <v>7</v>
      </c>
      <c r="B7" t="str">
        <f>HYPERLINK("http://www.ncbi.nlm.nih.gov/protein/XP_002762781.2","XP_002762781.2")</f>
        <v>XP_002762781.2</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HYPERLINK("http://www.ncbi.nlm.nih.gov/protein/XP_002762781.2","DNA polymerase alpha catalytic subunit isoform X2")</f>
        <v>DNA polymerase alpha catalytic subunit isoform X2</v>
      </c>
      <c r="I7" t="s">
        <v>266</v>
      </c>
      <c r="J7" t="s">
        <v>69</v>
      </c>
      <c r="K7">
        <v>594</v>
      </c>
      <c r="L7" t="s">
        <v>151</v>
      </c>
      <c r="M7" t="s">
        <v>69</v>
      </c>
      <c r="N7" t="s">
        <v>152</v>
      </c>
      <c r="O7" t="s">
        <v>69</v>
      </c>
      <c r="P7">
        <v>165.19200000000001</v>
      </c>
      <c r="Q7" t="s">
        <v>69</v>
      </c>
      <c r="R7" t="s">
        <v>69</v>
      </c>
      <c r="S7">
        <v>611</v>
      </c>
      <c r="T7" t="s">
        <v>115</v>
      </c>
      <c r="U7" t="s">
        <v>69</v>
      </c>
      <c r="V7" t="s">
        <v>71</v>
      </c>
      <c r="W7" t="s">
        <v>69</v>
      </c>
      <c r="X7">
        <v>117.148</v>
      </c>
      <c r="Y7" t="s">
        <v>69</v>
      </c>
      <c r="Z7" t="s">
        <v>69</v>
      </c>
      <c r="AA7">
        <v>614</v>
      </c>
      <c r="AB7" t="s">
        <v>149</v>
      </c>
      <c r="AC7" t="s">
        <v>69</v>
      </c>
      <c r="AD7" t="s">
        <v>150</v>
      </c>
      <c r="AE7" t="s">
        <v>69</v>
      </c>
      <c r="AF7">
        <v>119.119</v>
      </c>
      <c r="AG7" t="s">
        <v>69</v>
      </c>
      <c r="AH7" t="s">
        <v>69</v>
      </c>
      <c r="AI7">
        <v>620</v>
      </c>
      <c r="AJ7" t="s">
        <v>70</v>
      </c>
      <c r="AK7" t="s">
        <v>69</v>
      </c>
      <c r="AL7" t="s">
        <v>71</v>
      </c>
      <c r="AM7" t="s">
        <v>69</v>
      </c>
      <c r="AN7">
        <v>75.066999999999993</v>
      </c>
      <c r="AO7" t="s">
        <v>69</v>
      </c>
      <c r="AP7" t="s">
        <v>69</v>
      </c>
      <c r="AQ7">
        <v>621</v>
      </c>
      <c r="AR7" t="s">
        <v>151</v>
      </c>
      <c r="AS7" t="s">
        <v>69</v>
      </c>
      <c r="AT7" t="s">
        <v>152</v>
      </c>
      <c r="AU7" t="s">
        <v>69</v>
      </c>
      <c r="AV7">
        <v>165.19200000000001</v>
      </c>
      <c r="AW7" t="s">
        <v>69</v>
      </c>
      <c r="AX7" t="s">
        <v>69</v>
      </c>
      <c r="AY7">
        <v>624</v>
      </c>
      <c r="AZ7" t="s">
        <v>73</v>
      </c>
      <c r="BA7" t="s">
        <v>69</v>
      </c>
      <c r="BB7" t="s">
        <v>71</v>
      </c>
      <c r="BC7" t="s">
        <v>69</v>
      </c>
      <c r="BD7">
        <v>89.093999999999994</v>
      </c>
      <c r="BE7" t="s">
        <v>69</v>
      </c>
      <c r="BF7" t="s">
        <v>69</v>
      </c>
      <c r="BG7">
        <v>625</v>
      </c>
      <c r="BH7" t="s">
        <v>153</v>
      </c>
      <c r="BI7" t="s">
        <v>153</v>
      </c>
      <c r="BJ7" t="s">
        <v>148</v>
      </c>
      <c r="BK7" t="s">
        <v>153</v>
      </c>
      <c r="BL7">
        <v>132.119</v>
      </c>
      <c r="BM7" t="s">
        <v>69</v>
      </c>
      <c r="BN7" t="s">
        <v>69</v>
      </c>
      <c r="BO7">
        <v>657</v>
      </c>
      <c r="BP7" t="s">
        <v>146</v>
      </c>
      <c r="BQ7" t="s">
        <v>69</v>
      </c>
      <c r="BR7" t="s">
        <v>71</v>
      </c>
      <c r="BS7" t="s">
        <v>69</v>
      </c>
      <c r="BT7">
        <v>115.13200000000001</v>
      </c>
      <c r="BU7" t="s">
        <v>69</v>
      </c>
      <c r="BV7" t="s">
        <v>69</v>
      </c>
    </row>
    <row r="8" spans="1:74" x14ac:dyDescent="0.25">
      <c r="A8">
        <v>7</v>
      </c>
      <c r="B8" t="str">
        <f>HYPERLINK("http://www.ncbi.nlm.nih.gov/protein/XP_025853213.1","XP_025853213.1")</f>
        <v>XP_025853213.1</v>
      </c>
      <c r="C8">
        <v>38435</v>
      </c>
      <c r="D8" t="str">
        <f>HYPERLINK("http://www.ncbi.nlm.nih.gov/Taxonomy/Browser/wwwtax.cgi?mode=Info&amp;id=9627&amp;lvl=3&amp;lin=f&amp;keep=1&amp;srchmode=1&amp;unlock","9627")</f>
        <v>9627</v>
      </c>
      <c r="E8" t="s">
        <v>66</v>
      </c>
      <c r="F8" t="str">
        <f>HYPERLINK("http://www.ncbi.nlm.nih.gov/Taxonomy/Browser/wwwtax.cgi?mode=Info&amp;id=9627&amp;lvl=3&amp;lin=f&amp;keep=1&amp;srchmode=1&amp;unlock","Vulpes vulpes")</f>
        <v>Vulpes vulpes</v>
      </c>
      <c r="G8" t="s">
        <v>95</v>
      </c>
      <c r="H8" t="str">
        <f>HYPERLINK("http://www.ncbi.nlm.nih.gov/protein/XP_025853213.1","DNA polymerase alpha catalytic subunit isoform X1")</f>
        <v>DNA polymerase alpha catalytic subunit isoform X1</v>
      </c>
      <c r="I8" t="s">
        <v>266</v>
      </c>
      <c r="J8" t="s">
        <v>69</v>
      </c>
      <c r="K8">
        <v>600</v>
      </c>
      <c r="L8" t="s">
        <v>151</v>
      </c>
      <c r="M8" t="s">
        <v>69</v>
      </c>
      <c r="N8" t="s">
        <v>152</v>
      </c>
      <c r="O8" t="s">
        <v>69</v>
      </c>
      <c r="P8">
        <v>165.19200000000001</v>
      </c>
      <c r="Q8" t="s">
        <v>69</v>
      </c>
      <c r="R8" t="s">
        <v>69</v>
      </c>
      <c r="S8">
        <v>617</v>
      </c>
      <c r="T8" t="s">
        <v>145</v>
      </c>
      <c r="U8" t="s">
        <v>153</v>
      </c>
      <c r="V8" t="s">
        <v>71</v>
      </c>
      <c r="W8" t="s">
        <v>69</v>
      </c>
      <c r="X8">
        <v>131.17500000000001</v>
      </c>
      <c r="Y8" t="s">
        <v>69</v>
      </c>
      <c r="Z8" t="s">
        <v>69</v>
      </c>
      <c r="AA8">
        <v>620</v>
      </c>
      <c r="AB8" t="s">
        <v>149</v>
      </c>
      <c r="AC8" t="s">
        <v>69</v>
      </c>
      <c r="AD8" t="s">
        <v>150</v>
      </c>
      <c r="AE8" t="s">
        <v>69</v>
      </c>
      <c r="AF8">
        <v>119.119</v>
      </c>
      <c r="AG8" t="s">
        <v>69</v>
      </c>
      <c r="AH8" t="s">
        <v>69</v>
      </c>
      <c r="AI8">
        <v>626</v>
      </c>
      <c r="AJ8" t="s">
        <v>70</v>
      </c>
      <c r="AK8" t="s">
        <v>69</v>
      </c>
      <c r="AL8" t="s">
        <v>71</v>
      </c>
      <c r="AM8" t="s">
        <v>69</v>
      </c>
      <c r="AN8">
        <v>75.066999999999993</v>
      </c>
      <c r="AO8" t="s">
        <v>69</v>
      </c>
      <c r="AP8" t="s">
        <v>69</v>
      </c>
      <c r="AQ8">
        <v>627</v>
      </c>
      <c r="AR8" t="s">
        <v>151</v>
      </c>
      <c r="AS8" t="s">
        <v>69</v>
      </c>
      <c r="AT8" t="s">
        <v>152</v>
      </c>
      <c r="AU8" t="s">
        <v>69</v>
      </c>
      <c r="AV8">
        <v>165.19200000000001</v>
      </c>
      <c r="AW8" t="s">
        <v>69</v>
      </c>
      <c r="AX8" t="s">
        <v>69</v>
      </c>
      <c r="AY8">
        <v>630</v>
      </c>
      <c r="AZ8" t="s">
        <v>73</v>
      </c>
      <c r="BA8" t="s">
        <v>69</v>
      </c>
      <c r="BB8" t="s">
        <v>71</v>
      </c>
      <c r="BC8" t="s">
        <v>69</v>
      </c>
      <c r="BD8">
        <v>89.093999999999994</v>
      </c>
      <c r="BE8" t="s">
        <v>69</v>
      </c>
      <c r="BF8" t="s">
        <v>69</v>
      </c>
      <c r="BG8">
        <v>631</v>
      </c>
      <c r="BH8" t="s">
        <v>76</v>
      </c>
      <c r="BI8" t="s">
        <v>69</v>
      </c>
      <c r="BJ8" t="s">
        <v>75</v>
      </c>
      <c r="BK8" t="s">
        <v>69</v>
      </c>
      <c r="BL8">
        <v>146.18899999999999</v>
      </c>
      <c r="BM8" t="s">
        <v>69</v>
      </c>
      <c r="BN8" t="s">
        <v>69</v>
      </c>
      <c r="BO8">
        <v>663</v>
      </c>
      <c r="BP8" t="s">
        <v>146</v>
      </c>
      <c r="BQ8" t="s">
        <v>69</v>
      </c>
      <c r="BR8" t="s">
        <v>71</v>
      </c>
      <c r="BS8" t="s">
        <v>69</v>
      </c>
      <c r="BT8">
        <v>115.13200000000001</v>
      </c>
      <c r="BU8" t="s">
        <v>69</v>
      </c>
      <c r="BV8" t="s">
        <v>69</v>
      </c>
    </row>
    <row r="9" spans="1:74" x14ac:dyDescent="0.25">
      <c r="A9">
        <v>7</v>
      </c>
      <c r="B9" t="str">
        <f>HYPERLINK("http://www.ncbi.nlm.nih.gov/protein/XP_047392572.1","XP_047392572.1")</f>
        <v>XP_047392572.1</v>
      </c>
      <c r="C9">
        <v>74939</v>
      </c>
      <c r="D9" t="str">
        <f>HYPERLINK("http://www.ncbi.nlm.nih.gov/Taxonomy/Browser/wwwtax.cgi?mode=Info&amp;id=30640&amp;lvl=3&amp;lin=f&amp;keep=1&amp;srchmode=1&amp;unlock","30640")</f>
        <v>30640</v>
      </c>
      <c r="E9" t="s">
        <v>66</v>
      </c>
      <c r="F9" t="str">
        <f>HYPERLINK("http://www.ncbi.nlm.nih.gov/Taxonomy/Browser/wwwtax.cgi?mode=Info&amp;id=30640&amp;lvl=3&amp;lin=f&amp;keep=1&amp;srchmode=1&amp;unlock","Neosciurus carolinensis")</f>
        <v>Neosciurus carolinensis</v>
      </c>
      <c r="G9" t="s">
        <v>101</v>
      </c>
      <c r="H9" t="str">
        <f>HYPERLINK("http://www.ncbi.nlm.nih.gov/protein/XP_047392572.1","DNA polymerase alpha catalytic subunit isoform X1")</f>
        <v>DNA polymerase alpha catalytic subunit isoform X1</v>
      </c>
      <c r="I9" t="s">
        <v>266</v>
      </c>
      <c r="J9" t="s">
        <v>69</v>
      </c>
      <c r="K9">
        <v>597</v>
      </c>
      <c r="L9" t="s">
        <v>151</v>
      </c>
      <c r="M9" t="s">
        <v>69</v>
      </c>
      <c r="N9" t="s">
        <v>152</v>
      </c>
      <c r="O9" t="s">
        <v>69</v>
      </c>
      <c r="P9">
        <v>165.19200000000001</v>
      </c>
      <c r="Q9" t="s">
        <v>69</v>
      </c>
      <c r="R9" t="s">
        <v>69</v>
      </c>
      <c r="S9">
        <v>614</v>
      </c>
      <c r="T9" t="s">
        <v>115</v>
      </c>
      <c r="U9" t="s">
        <v>69</v>
      </c>
      <c r="V9" t="s">
        <v>71</v>
      </c>
      <c r="W9" t="s">
        <v>69</v>
      </c>
      <c r="X9">
        <v>117.148</v>
      </c>
      <c r="Y9" t="s">
        <v>69</v>
      </c>
      <c r="Z9" t="s">
        <v>69</v>
      </c>
      <c r="AA9">
        <v>617</v>
      </c>
      <c r="AB9" t="s">
        <v>149</v>
      </c>
      <c r="AC9" t="s">
        <v>69</v>
      </c>
      <c r="AD9" t="s">
        <v>150</v>
      </c>
      <c r="AE9" t="s">
        <v>69</v>
      </c>
      <c r="AF9">
        <v>119.119</v>
      </c>
      <c r="AG9" t="s">
        <v>69</v>
      </c>
      <c r="AH9" t="s">
        <v>69</v>
      </c>
      <c r="AI9">
        <v>623</v>
      </c>
      <c r="AJ9" t="s">
        <v>70</v>
      </c>
      <c r="AK9" t="s">
        <v>69</v>
      </c>
      <c r="AL9" t="s">
        <v>71</v>
      </c>
      <c r="AM9" t="s">
        <v>69</v>
      </c>
      <c r="AN9">
        <v>75.066999999999993</v>
      </c>
      <c r="AO9" t="s">
        <v>69</v>
      </c>
      <c r="AP9" t="s">
        <v>69</v>
      </c>
      <c r="AQ9">
        <v>624</v>
      </c>
      <c r="AR9" t="s">
        <v>151</v>
      </c>
      <c r="AS9" t="s">
        <v>69</v>
      </c>
      <c r="AT9" t="s">
        <v>152</v>
      </c>
      <c r="AU9" t="s">
        <v>69</v>
      </c>
      <c r="AV9">
        <v>165.19200000000001</v>
      </c>
      <c r="AW9" t="s">
        <v>69</v>
      </c>
      <c r="AX9" t="s">
        <v>69</v>
      </c>
      <c r="AY9">
        <v>627</v>
      </c>
      <c r="AZ9" t="s">
        <v>73</v>
      </c>
      <c r="BA9" t="s">
        <v>69</v>
      </c>
      <c r="BB9" t="s">
        <v>71</v>
      </c>
      <c r="BC9" t="s">
        <v>69</v>
      </c>
      <c r="BD9">
        <v>89.093999999999994</v>
      </c>
      <c r="BE9" t="s">
        <v>69</v>
      </c>
      <c r="BF9" t="s">
        <v>69</v>
      </c>
      <c r="BG9">
        <v>628</v>
      </c>
      <c r="BH9" t="s">
        <v>76</v>
      </c>
      <c r="BI9" t="s">
        <v>69</v>
      </c>
      <c r="BJ9" t="s">
        <v>75</v>
      </c>
      <c r="BK9" t="s">
        <v>69</v>
      </c>
      <c r="BL9">
        <v>146.18899999999999</v>
      </c>
      <c r="BM9" t="s">
        <v>69</v>
      </c>
      <c r="BN9" t="s">
        <v>69</v>
      </c>
      <c r="BO9">
        <v>660</v>
      </c>
      <c r="BP9" t="s">
        <v>146</v>
      </c>
      <c r="BQ9" t="s">
        <v>69</v>
      </c>
      <c r="BR9" t="s">
        <v>71</v>
      </c>
      <c r="BS9" t="s">
        <v>69</v>
      </c>
      <c r="BT9">
        <v>115.13200000000001</v>
      </c>
      <c r="BU9" t="s">
        <v>69</v>
      </c>
      <c r="BV9" t="s">
        <v>69</v>
      </c>
    </row>
    <row r="10" spans="1:74" x14ac:dyDescent="0.25">
      <c r="A10">
        <v>7</v>
      </c>
      <c r="B10" t="str">
        <f>HYPERLINK("http://www.ncbi.nlm.nih.gov/protein/XP_038305620.1","XP_038305620.1")</f>
        <v>XP_038305620.1</v>
      </c>
      <c r="C10">
        <v>136357</v>
      </c>
      <c r="D10" t="str">
        <f>HYPERLINK("http://www.ncbi.nlm.nih.gov/Taxonomy/Browser/wwwtax.cgi?mode=Info&amp;id=9615&amp;lvl=3&amp;lin=f&amp;keep=1&amp;srchmode=1&amp;unlock","9615")</f>
        <v>9615</v>
      </c>
      <c r="E10" t="s">
        <v>66</v>
      </c>
      <c r="F10" t="str">
        <f>HYPERLINK("http://www.ncbi.nlm.nih.gov/Taxonomy/Browser/wwwtax.cgi?mode=Info&amp;id=9615&amp;lvl=3&amp;lin=f&amp;keep=1&amp;srchmode=1&amp;unlock","Canis lupus familiaris")</f>
        <v>Canis lupus familiaris</v>
      </c>
      <c r="G10" t="s">
        <v>84</v>
      </c>
      <c r="H10" t="str">
        <f>HYPERLINK("http://www.ncbi.nlm.nih.gov/protein/XP_038305620.1","DNA polymerase alpha catalytic subunit")</f>
        <v>DNA polymerase alpha catalytic subunit</v>
      </c>
      <c r="I10" t="s">
        <v>266</v>
      </c>
      <c r="J10" t="s">
        <v>69</v>
      </c>
      <c r="K10">
        <v>600</v>
      </c>
      <c r="L10" t="s">
        <v>151</v>
      </c>
      <c r="M10" t="s">
        <v>69</v>
      </c>
      <c r="N10" t="s">
        <v>152</v>
      </c>
      <c r="O10" t="s">
        <v>69</v>
      </c>
      <c r="P10">
        <v>165.19200000000001</v>
      </c>
      <c r="Q10" t="s">
        <v>69</v>
      </c>
      <c r="R10" t="s">
        <v>69</v>
      </c>
      <c r="S10">
        <v>617</v>
      </c>
      <c r="T10" t="s">
        <v>145</v>
      </c>
      <c r="U10" t="s">
        <v>153</v>
      </c>
      <c r="V10" t="s">
        <v>71</v>
      </c>
      <c r="W10" t="s">
        <v>69</v>
      </c>
      <c r="X10">
        <v>131.17500000000001</v>
      </c>
      <c r="Y10" t="s">
        <v>69</v>
      </c>
      <c r="Z10" t="s">
        <v>69</v>
      </c>
      <c r="AA10">
        <v>620</v>
      </c>
      <c r="AB10" t="s">
        <v>149</v>
      </c>
      <c r="AC10" t="s">
        <v>69</v>
      </c>
      <c r="AD10" t="s">
        <v>150</v>
      </c>
      <c r="AE10" t="s">
        <v>69</v>
      </c>
      <c r="AF10">
        <v>119.119</v>
      </c>
      <c r="AG10" t="s">
        <v>69</v>
      </c>
      <c r="AH10" t="s">
        <v>69</v>
      </c>
      <c r="AI10">
        <v>626</v>
      </c>
      <c r="AJ10" t="s">
        <v>70</v>
      </c>
      <c r="AK10" t="s">
        <v>69</v>
      </c>
      <c r="AL10" t="s">
        <v>71</v>
      </c>
      <c r="AM10" t="s">
        <v>69</v>
      </c>
      <c r="AN10">
        <v>75.066999999999993</v>
      </c>
      <c r="AO10" t="s">
        <v>69</v>
      </c>
      <c r="AP10" t="s">
        <v>69</v>
      </c>
      <c r="AQ10">
        <v>627</v>
      </c>
      <c r="AR10" t="s">
        <v>151</v>
      </c>
      <c r="AS10" t="s">
        <v>69</v>
      </c>
      <c r="AT10" t="s">
        <v>152</v>
      </c>
      <c r="AU10" t="s">
        <v>69</v>
      </c>
      <c r="AV10">
        <v>165.19200000000001</v>
      </c>
      <c r="AW10" t="s">
        <v>69</v>
      </c>
      <c r="AX10" t="s">
        <v>69</v>
      </c>
      <c r="AY10">
        <v>630</v>
      </c>
      <c r="AZ10" t="s">
        <v>73</v>
      </c>
      <c r="BA10" t="s">
        <v>69</v>
      </c>
      <c r="BB10" t="s">
        <v>71</v>
      </c>
      <c r="BC10" t="s">
        <v>69</v>
      </c>
      <c r="BD10">
        <v>89.093999999999994</v>
      </c>
      <c r="BE10" t="s">
        <v>69</v>
      </c>
      <c r="BF10" t="s">
        <v>69</v>
      </c>
      <c r="BG10">
        <v>631</v>
      </c>
      <c r="BH10" t="s">
        <v>76</v>
      </c>
      <c r="BI10" t="s">
        <v>69</v>
      </c>
      <c r="BJ10" t="s">
        <v>75</v>
      </c>
      <c r="BK10" t="s">
        <v>69</v>
      </c>
      <c r="BL10">
        <v>146.18899999999999</v>
      </c>
      <c r="BM10" t="s">
        <v>69</v>
      </c>
      <c r="BN10" t="s">
        <v>69</v>
      </c>
      <c r="BO10">
        <v>663</v>
      </c>
      <c r="BP10" t="s">
        <v>146</v>
      </c>
      <c r="BQ10" t="s">
        <v>69</v>
      </c>
      <c r="BR10" t="s">
        <v>71</v>
      </c>
      <c r="BS10" t="s">
        <v>69</v>
      </c>
      <c r="BT10">
        <v>115.13200000000001</v>
      </c>
      <c r="BU10" t="s">
        <v>69</v>
      </c>
      <c r="BV10" t="s">
        <v>69</v>
      </c>
    </row>
    <row r="11" spans="1:74" x14ac:dyDescent="0.25">
      <c r="A11">
        <v>7</v>
      </c>
      <c r="B11" t="str">
        <f>HYPERLINK("http://www.ncbi.nlm.nih.gov/protein/XP_045851965.1","XP_045851965.1")</f>
        <v>XP_045851965.1</v>
      </c>
      <c r="C11">
        <v>50752</v>
      </c>
      <c r="D11" t="str">
        <f>HYPERLINK("http://www.ncbi.nlm.nih.gov/Taxonomy/Browser/wwwtax.cgi?mode=Info&amp;id=9662&amp;lvl=3&amp;lin=f&amp;keep=1&amp;srchmode=1&amp;unlock","9662")</f>
        <v>9662</v>
      </c>
      <c r="E11" t="s">
        <v>66</v>
      </c>
      <c r="F11" t="str">
        <f>HYPERLINK("http://www.ncbi.nlm.nih.gov/Taxonomy/Browser/wwwtax.cgi?mode=Info&amp;id=9662&amp;lvl=3&amp;lin=f&amp;keep=1&amp;srchmode=1&amp;unlock","Meles meles")</f>
        <v>Meles meles</v>
      </c>
      <c r="G11" t="s">
        <v>99</v>
      </c>
      <c r="H11" t="str">
        <f>HYPERLINK("http://www.ncbi.nlm.nih.gov/protein/XP_045851965.1","DNA polymerase alpha catalytic subunit")</f>
        <v>DNA polymerase alpha catalytic subunit</v>
      </c>
      <c r="I11" t="s">
        <v>266</v>
      </c>
      <c r="J11" t="s">
        <v>69</v>
      </c>
      <c r="K11">
        <v>600</v>
      </c>
      <c r="L11" t="s">
        <v>151</v>
      </c>
      <c r="M11" t="s">
        <v>69</v>
      </c>
      <c r="N11" t="s">
        <v>152</v>
      </c>
      <c r="O11" t="s">
        <v>69</v>
      </c>
      <c r="P11">
        <v>165.19200000000001</v>
      </c>
      <c r="Q11" t="s">
        <v>69</v>
      </c>
      <c r="R11" t="s">
        <v>69</v>
      </c>
      <c r="S11">
        <v>617</v>
      </c>
      <c r="T11" t="s">
        <v>145</v>
      </c>
      <c r="U11" t="s">
        <v>153</v>
      </c>
      <c r="V11" t="s">
        <v>71</v>
      </c>
      <c r="W11" t="s">
        <v>69</v>
      </c>
      <c r="X11">
        <v>131.17500000000001</v>
      </c>
      <c r="Y11" t="s">
        <v>69</v>
      </c>
      <c r="Z11" t="s">
        <v>69</v>
      </c>
      <c r="AA11">
        <v>620</v>
      </c>
      <c r="AB11" t="s">
        <v>149</v>
      </c>
      <c r="AC11" t="s">
        <v>69</v>
      </c>
      <c r="AD11" t="s">
        <v>150</v>
      </c>
      <c r="AE11" t="s">
        <v>69</v>
      </c>
      <c r="AF11">
        <v>119.119</v>
      </c>
      <c r="AG11" t="s">
        <v>69</v>
      </c>
      <c r="AH11" t="s">
        <v>69</v>
      </c>
      <c r="AI11">
        <v>626</v>
      </c>
      <c r="AJ11" t="s">
        <v>70</v>
      </c>
      <c r="AK11" t="s">
        <v>69</v>
      </c>
      <c r="AL11" t="s">
        <v>71</v>
      </c>
      <c r="AM11" t="s">
        <v>69</v>
      </c>
      <c r="AN11">
        <v>75.066999999999993</v>
      </c>
      <c r="AO11" t="s">
        <v>69</v>
      </c>
      <c r="AP11" t="s">
        <v>69</v>
      </c>
      <c r="AQ11">
        <v>627</v>
      </c>
      <c r="AR11" t="s">
        <v>151</v>
      </c>
      <c r="AS11" t="s">
        <v>69</v>
      </c>
      <c r="AT11" t="s">
        <v>152</v>
      </c>
      <c r="AU11" t="s">
        <v>69</v>
      </c>
      <c r="AV11">
        <v>165.19200000000001</v>
      </c>
      <c r="AW11" t="s">
        <v>69</v>
      </c>
      <c r="AX11" t="s">
        <v>69</v>
      </c>
      <c r="AY11">
        <v>630</v>
      </c>
      <c r="AZ11" t="s">
        <v>73</v>
      </c>
      <c r="BA11" t="s">
        <v>69</v>
      </c>
      <c r="BB11" t="s">
        <v>71</v>
      </c>
      <c r="BC11" t="s">
        <v>69</v>
      </c>
      <c r="BD11">
        <v>89.093999999999994</v>
      </c>
      <c r="BE11" t="s">
        <v>69</v>
      </c>
      <c r="BF11" t="s">
        <v>69</v>
      </c>
      <c r="BG11">
        <v>631</v>
      </c>
      <c r="BH11" t="s">
        <v>76</v>
      </c>
      <c r="BI11" t="s">
        <v>69</v>
      </c>
      <c r="BJ11" t="s">
        <v>75</v>
      </c>
      <c r="BK11" t="s">
        <v>69</v>
      </c>
      <c r="BL11">
        <v>146.18899999999999</v>
      </c>
      <c r="BM11" t="s">
        <v>69</v>
      </c>
      <c r="BN11" t="s">
        <v>69</v>
      </c>
      <c r="BO11">
        <v>663</v>
      </c>
      <c r="BP11" t="s">
        <v>146</v>
      </c>
      <c r="BQ11" t="s">
        <v>69</v>
      </c>
      <c r="BR11" t="s">
        <v>71</v>
      </c>
      <c r="BS11" t="s">
        <v>69</v>
      </c>
      <c r="BT11">
        <v>115.13200000000001</v>
      </c>
      <c r="BU11" t="s">
        <v>69</v>
      </c>
      <c r="BV11" t="s">
        <v>69</v>
      </c>
    </row>
    <row r="12" spans="1:74" x14ac:dyDescent="0.25">
      <c r="A12">
        <v>7</v>
      </c>
      <c r="B12" t="str">
        <f>HYPERLINK("http://www.ncbi.nlm.nih.gov/protein/XP_025790274.1","XP_025790274.1")</f>
        <v>XP_025790274.1</v>
      </c>
      <c r="C12">
        <v>23623</v>
      </c>
      <c r="D12" t="str">
        <f>HYPERLINK("http://www.ncbi.nlm.nih.gov/Taxonomy/Browser/wwwtax.cgi?mode=Info&amp;id=9696&amp;lvl=3&amp;lin=f&amp;keep=1&amp;srchmode=1&amp;unlock","9696")</f>
        <v>9696</v>
      </c>
      <c r="E12" t="s">
        <v>66</v>
      </c>
      <c r="F12" t="str">
        <f>HYPERLINK("http://www.ncbi.nlm.nih.gov/Taxonomy/Browser/wwwtax.cgi?mode=Info&amp;id=9696&amp;lvl=3&amp;lin=f&amp;keep=1&amp;srchmode=1&amp;unlock","Puma concolor")</f>
        <v>Puma concolor</v>
      </c>
      <c r="G12" t="s">
        <v>91</v>
      </c>
      <c r="H12" t="str">
        <f>HYPERLINK("http://www.ncbi.nlm.nih.gov/protein/XP_025790274.1","DNA polymerase alpha catalytic subunit isoform X2")</f>
        <v>DNA polymerase alpha catalytic subunit isoform X2</v>
      </c>
      <c r="I12" t="s">
        <v>266</v>
      </c>
      <c r="J12" t="s">
        <v>69</v>
      </c>
      <c r="K12">
        <v>594</v>
      </c>
      <c r="L12" t="s">
        <v>151</v>
      </c>
      <c r="M12" t="s">
        <v>69</v>
      </c>
      <c r="N12" t="s">
        <v>152</v>
      </c>
      <c r="O12" t="s">
        <v>69</v>
      </c>
      <c r="P12">
        <v>165.19200000000001</v>
      </c>
      <c r="Q12" t="s">
        <v>69</v>
      </c>
      <c r="R12" t="s">
        <v>69</v>
      </c>
      <c r="S12">
        <v>611</v>
      </c>
      <c r="T12" t="s">
        <v>145</v>
      </c>
      <c r="U12" t="s">
        <v>153</v>
      </c>
      <c r="V12" t="s">
        <v>71</v>
      </c>
      <c r="W12" t="s">
        <v>69</v>
      </c>
      <c r="X12">
        <v>131.17500000000001</v>
      </c>
      <c r="Y12" t="s">
        <v>69</v>
      </c>
      <c r="Z12" t="s">
        <v>69</v>
      </c>
      <c r="AA12">
        <v>614</v>
      </c>
      <c r="AB12" t="s">
        <v>149</v>
      </c>
      <c r="AC12" t="s">
        <v>69</v>
      </c>
      <c r="AD12" t="s">
        <v>150</v>
      </c>
      <c r="AE12" t="s">
        <v>69</v>
      </c>
      <c r="AF12">
        <v>119.119</v>
      </c>
      <c r="AG12" t="s">
        <v>69</v>
      </c>
      <c r="AH12" t="s">
        <v>69</v>
      </c>
      <c r="AI12">
        <v>620</v>
      </c>
      <c r="AJ12" t="s">
        <v>70</v>
      </c>
      <c r="AK12" t="s">
        <v>69</v>
      </c>
      <c r="AL12" t="s">
        <v>71</v>
      </c>
      <c r="AM12" t="s">
        <v>69</v>
      </c>
      <c r="AN12">
        <v>75.066999999999993</v>
      </c>
      <c r="AO12" t="s">
        <v>69</v>
      </c>
      <c r="AP12" t="s">
        <v>69</v>
      </c>
      <c r="AQ12">
        <v>621</v>
      </c>
      <c r="AR12" t="s">
        <v>151</v>
      </c>
      <c r="AS12" t="s">
        <v>69</v>
      </c>
      <c r="AT12" t="s">
        <v>152</v>
      </c>
      <c r="AU12" t="s">
        <v>69</v>
      </c>
      <c r="AV12">
        <v>165.19200000000001</v>
      </c>
      <c r="AW12" t="s">
        <v>69</v>
      </c>
      <c r="AX12" t="s">
        <v>69</v>
      </c>
      <c r="AY12">
        <v>624</v>
      </c>
      <c r="AZ12" t="s">
        <v>73</v>
      </c>
      <c r="BA12" t="s">
        <v>69</v>
      </c>
      <c r="BB12" t="s">
        <v>71</v>
      </c>
      <c r="BC12" t="s">
        <v>69</v>
      </c>
      <c r="BD12">
        <v>89.093999999999994</v>
      </c>
      <c r="BE12" t="s">
        <v>69</v>
      </c>
      <c r="BF12" t="s">
        <v>69</v>
      </c>
      <c r="BG12">
        <v>625</v>
      </c>
      <c r="BH12" t="s">
        <v>76</v>
      </c>
      <c r="BI12" t="s">
        <v>69</v>
      </c>
      <c r="BJ12" t="s">
        <v>75</v>
      </c>
      <c r="BK12" t="s">
        <v>69</v>
      </c>
      <c r="BL12">
        <v>146.18899999999999</v>
      </c>
      <c r="BM12" t="s">
        <v>69</v>
      </c>
      <c r="BN12" t="s">
        <v>69</v>
      </c>
      <c r="BO12">
        <v>657</v>
      </c>
      <c r="BP12" t="s">
        <v>146</v>
      </c>
      <c r="BQ12" t="s">
        <v>69</v>
      </c>
      <c r="BR12" t="s">
        <v>71</v>
      </c>
      <c r="BS12" t="s">
        <v>69</v>
      </c>
      <c r="BT12">
        <v>115.13200000000001</v>
      </c>
      <c r="BU12" t="s">
        <v>69</v>
      </c>
      <c r="BV12" t="s">
        <v>69</v>
      </c>
    </row>
    <row r="13" spans="1:74" x14ac:dyDescent="0.25">
      <c r="A13">
        <v>7</v>
      </c>
      <c r="B13" t="str">
        <f>HYPERLINK("http://www.ncbi.nlm.nih.gov/protein/XP_027631521.1","XP_027631521.1")</f>
        <v>XP_027631521.1</v>
      </c>
      <c r="C13">
        <v>59507</v>
      </c>
      <c r="D13" t="str">
        <f>HYPERLINK("http://www.ncbi.nlm.nih.gov/Taxonomy/Browser/wwwtax.cgi?mode=Info&amp;id=246437&amp;lvl=3&amp;lin=f&amp;keep=1&amp;srchmode=1&amp;unlock","246437")</f>
        <v>246437</v>
      </c>
      <c r="E13" t="s">
        <v>66</v>
      </c>
      <c r="F13" t="str">
        <f>HYPERLINK("http://www.ncbi.nlm.nih.gov/Taxonomy/Browser/wwwtax.cgi?mode=Info&amp;id=246437&amp;lvl=3&amp;lin=f&amp;keep=1&amp;srchmode=1&amp;unlock","Tupaia chinensis")</f>
        <v>Tupaia chinensis</v>
      </c>
      <c r="G13" t="s">
        <v>97</v>
      </c>
      <c r="H13" t="str">
        <f>HYPERLINK("http://www.ncbi.nlm.nih.gov/protein/XP_027631521.1","DNA polymerase alpha catalytic subunit isoform X1")</f>
        <v>DNA polymerase alpha catalytic subunit isoform X1</v>
      </c>
      <c r="I13" t="s">
        <v>266</v>
      </c>
      <c r="J13" t="s">
        <v>69</v>
      </c>
      <c r="K13">
        <v>597</v>
      </c>
      <c r="L13" t="s">
        <v>151</v>
      </c>
      <c r="M13" t="s">
        <v>69</v>
      </c>
      <c r="N13" t="s">
        <v>152</v>
      </c>
      <c r="O13" t="s">
        <v>69</v>
      </c>
      <c r="P13">
        <v>165.19200000000001</v>
      </c>
      <c r="Q13" t="s">
        <v>69</v>
      </c>
      <c r="R13" t="s">
        <v>69</v>
      </c>
      <c r="S13">
        <v>614</v>
      </c>
      <c r="T13" t="s">
        <v>115</v>
      </c>
      <c r="U13" t="s">
        <v>69</v>
      </c>
      <c r="V13" t="s">
        <v>71</v>
      </c>
      <c r="W13" t="s">
        <v>69</v>
      </c>
      <c r="X13">
        <v>117.148</v>
      </c>
      <c r="Y13" t="s">
        <v>69</v>
      </c>
      <c r="Z13" t="s">
        <v>69</v>
      </c>
      <c r="AA13">
        <v>617</v>
      </c>
      <c r="AB13" t="s">
        <v>149</v>
      </c>
      <c r="AC13" t="s">
        <v>69</v>
      </c>
      <c r="AD13" t="s">
        <v>150</v>
      </c>
      <c r="AE13" t="s">
        <v>69</v>
      </c>
      <c r="AF13">
        <v>119.119</v>
      </c>
      <c r="AG13" t="s">
        <v>69</v>
      </c>
      <c r="AH13" t="s">
        <v>69</v>
      </c>
      <c r="AI13">
        <v>623</v>
      </c>
      <c r="AJ13" t="s">
        <v>70</v>
      </c>
      <c r="AK13" t="s">
        <v>69</v>
      </c>
      <c r="AL13" t="s">
        <v>71</v>
      </c>
      <c r="AM13" t="s">
        <v>69</v>
      </c>
      <c r="AN13">
        <v>75.066999999999993</v>
      </c>
      <c r="AO13" t="s">
        <v>69</v>
      </c>
      <c r="AP13" t="s">
        <v>69</v>
      </c>
      <c r="AQ13">
        <v>624</v>
      </c>
      <c r="AR13" t="s">
        <v>151</v>
      </c>
      <c r="AS13" t="s">
        <v>69</v>
      </c>
      <c r="AT13" t="s">
        <v>152</v>
      </c>
      <c r="AU13" t="s">
        <v>69</v>
      </c>
      <c r="AV13">
        <v>165.19200000000001</v>
      </c>
      <c r="AW13" t="s">
        <v>69</v>
      </c>
      <c r="AX13" t="s">
        <v>69</v>
      </c>
      <c r="AY13">
        <v>627</v>
      </c>
      <c r="AZ13" t="s">
        <v>73</v>
      </c>
      <c r="BA13" t="s">
        <v>69</v>
      </c>
      <c r="BB13" t="s">
        <v>71</v>
      </c>
      <c r="BC13" t="s">
        <v>69</v>
      </c>
      <c r="BD13">
        <v>89.093999999999994</v>
      </c>
      <c r="BE13" t="s">
        <v>69</v>
      </c>
      <c r="BF13" t="s">
        <v>69</v>
      </c>
      <c r="BG13">
        <v>628</v>
      </c>
      <c r="BH13" t="s">
        <v>76</v>
      </c>
      <c r="BI13" t="s">
        <v>69</v>
      </c>
      <c r="BJ13" t="s">
        <v>75</v>
      </c>
      <c r="BK13" t="s">
        <v>69</v>
      </c>
      <c r="BL13">
        <v>146.18899999999999</v>
      </c>
      <c r="BM13" t="s">
        <v>69</v>
      </c>
      <c r="BN13" t="s">
        <v>69</v>
      </c>
      <c r="BO13">
        <v>660</v>
      </c>
      <c r="BP13" t="s">
        <v>146</v>
      </c>
      <c r="BQ13" t="s">
        <v>69</v>
      </c>
      <c r="BR13" t="s">
        <v>71</v>
      </c>
      <c r="BS13" t="s">
        <v>69</v>
      </c>
      <c r="BT13">
        <v>115.13200000000001</v>
      </c>
      <c r="BU13" t="s">
        <v>69</v>
      </c>
      <c r="BV13" t="s">
        <v>69</v>
      </c>
    </row>
    <row r="14" spans="1:74" x14ac:dyDescent="0.25">
      <c r="A14">
        <v>7</v>
      </c>
      <c r="B14" t="str">
        <f>HYPERLINK("http://www.ncbi.nlm.nih.gov/protein/XP_020936230.1","XP_020936230.1")</f>
        <v>XP_020936230.1</v>
      </c>
      <c r="C14">
        <v>86952</v>
      </c>
      <c r="D14" t="str">
        <f>HYPERLINK("http://www.ncbi.nlm.nih.gov/Taxonomy/Browser/wwwtax.cgi?mode=Info&amp;id=9823&amp;lvl=3&amp;lin=f&amp;keep=1&amp;srchmode=1&amp;unlock","9823")</f>
        <v>9823</v>
      </c>
      <c r="E14" t="s">
        <v>66</v>
      </c>
      <c r="F14" t="str">
        <f>HYPERLINK("http://www.ncbi.nlm.nih.gov/Taxonomy/Browser/wwwtax.cgi?mode=Info&amp;id=9823&amp;lvl=3&amp;lin=f&amp;keep=1&amp;srchmode=1&amp;unlock","Sus scrofa")</f>
        <v>Sus scrofa</v>
      </c>
      <c r="G14" t="s">
        <v>85</v>
      </c>
      <c r="H14" t="str">
        <f>HYPERLINK("http://www.ncbi.nlm.nih.gov/protein/XP_020936230.1","DNA polymerase alpha catalytic subunit isoform X1")</f>
        <v>DNA polymerase alpha catalytic subunit isoform X1</v>
      </c>
      <c r="I14" t="s">
        <v>266</v>
      </c>
      <c r="J14" t="s">
        <v>69</v>
      </c>
      <c r="K14">
        <v>600</v>
      </c>
      <c r="L14" t="s">
        <v>151</v>
      </c>
      <c r="M14" t="s">
        <v>69</v>
      </c>
      <c r="N14" t="s">
        <v>152</v>
      </c>
      <c r="O14" t="s">
        <v>69</v>
      </c>
      <c r="P14">
        <v>165.19200000000001</v>
      </c>
      <c r="Q14" t="s">
        <v>69</v>
      </c>
      <c r="R14" t="s">
        <v>69</v>
      </c>
      <c r="S14">
        <v>617</v>
      </c>
      <c r="T14" t="s">
        <v>115</v>
      </c>
      <c r="U14" t="s">
        <v>69</v>
      </c>
      <c r="V14" t="s">
        <v>71</v>
      </c>
      <c r="W14" t="s">
        <v>69</v>
      </c>
      <c r="X14">
        <v>117.148</v>
      </c>
      <c r="Y14" t="s">
        <v>69</v>
      </c>
      <c r="Z14" t="s">
        <v>69</v>
      </c>
      <c r="AA14">
        <v>620</v>
      </c>
      <c r="AB14" t="s">
        <v>149</v>
      </c>
      <c r="AC14" t="s">
        <v>69</v>
      </c>
      <c r="AD14" t="s">
        <v>150</v>
      </c>
      <c r="AE14" t="s">
        <v>69</v>
      </c>
      <c r="AF14">
        <v>119.119</v>
      </c>
      <c r="AG14" t="s">
        <v>69</v>
      </c>
      <c r="AH14" t="s">
        <v>69</v>
      </c>
      <c r="AI14">
        <v>626</v>
      </c>
      <c r="AJ14" t="s">
        <v>70</v>
      </c>
      <c r="AK14" t="s">
        <v>69</v>
      </c>
      <c r="AL14" t="s">
        <v>71</v>
      </c>
      <c r="AM14" t="s">
        <v>69</v>
      </c>
      <c r="AN14">
        <v>75.066999999999993</v>
      </c>
      <c r="AO14" t="s">
        <v>69</v>
      </c>
      <c r="AP14" t="s">
        <v>69</v>
      </c>
      <c r="AQ14">
        <v>627</v>
      </c>
      <c r="AR14" t="s">
        <v>151</v>
      </c>
      <c r="AS14" t="s">
        <v>69</v>
      </c>
      <c r="AT14" t="s">
        <v>152</v>
      </c>
      <c r="AU14" t="s">
        <v>69</v>
      </c>
      <c r="AV14">
        <v>165.19200000000001</v>
      </c>
      <c r="AW14" t="s">
        <v>69</v>
      </c>
      <c r="AX14" t="s">
        <v>69</v>
      </c>
      <c r="AY14">
        <v>630</v>
      </c>
      <c r="AZ14" t="s">
        <v>73</v>
      </c>
      <c r="BA14" t="s">
        <v>69</v>
      </c>
      <c r="BB14" t="s">
        <v>71</v>
      </c>
      <c r="BC14" t="s">
        <v>69</v>
      </c>
      <c r="BD14">
        <v>89.093999999999994</v>
      </c>
      <c r="BE14" t="s">
        <v>69</v>
      </c>
      <c r="BF14" t="s">
        <v>69</v>
      </c>
      <c r="BG14">
        <v>631</v>
      </c>
      <c r="BH14" t="s">
        <v>76</v>
      </c>
      <c r="BI14" t="s">
        <v>69</v>
      </c>
      <c r="BJ14" t="s">
        <v>75</v>
      </c>
      <c r="BK14" t="s">
        <v>69</v>
      </c>
      <c r="BL14">
        <v>146.18899999999999</v>
      </c>
      <c r="BM14" t="s">
        <v>69</v>
      </c>
      <c r="BN14" t="s">
        <v>69</v>
      </c>
      <c r="BO14">
        <v>663</v>
      </c>
      <c r="BP14" t="s">
        <v>146</v>
      </c>
      <c r="BQ14" t="s">
        <v>69</v>
      </c>
      <c r="BR14" t="s">
        <v>71</v>
      </c>
      <c r="BS14" t="s">
        <v>69</v>
      </c>
      <c r="BT14">
        <v>115.13200000000001</v>
      </c>
      <c r="BU14" t="s">
        <v>69</v>
      </c>
      <c r="BV14" t="s">
        <v>69</v>
      </c>
    </row>
    <row r="15" spans="1:74" x14ac:dyDescent="0.25">
      <c r="A15">
        <v>7</v>
      </c>
      <c r="B15" t="str">
        <f>HYPERLINK("http://www.ncbi.nlm.nih.gov/protein/XP_007087918.2","XP_007087918.2")</f>
        <v>XP_007087918.2</v>
      </c>
      <c r="C15">
        <v>56089</v>
      </c>
      <c r="D15" t="str">
        <f>HYPERLINK("http://www.ncbi.nlm.nih.gov/Taxonomy/Browser/wwwtax.cgi?mode=Info&amp;id=9694&amp;lvl=3&amp;lin=f&amp;keep=1&amp;srchmode=1&amp;unlock","9694")</f>
        <v>9694</v>
      </c>
      <c r="E15" t="s">
        <v>66</v>
      </c>
      <c r="F15" t="str">
        <f>HYPERLINK("http://www.ncbi.nlm.nih.gov/Taxonomy/Browser/wwwtax.cgi?mode=Info&amp;id=9694&amp;lvl=3&amp;lin=f&amp;keep=1&amp;srchmode=1&amp;unlock","Panthera tigris")</f>
        <v>Panthera tigris</v>
      </c>
      <c r="G15" t="s">
        <v>89</v>
      </c>
      <c r="H15" t="str">
        <f>HYPERLINK("http://www.ncbi.nlm.nih.gov/protein/XP_007087918.2","DNA polymerase alpha catalytic subunit isoform X1")</f>
        <v>DNA polymerase alpha catalytic subunit isoform X1</v>
      </c>
      <c r="I15" t="s">
        <v>266</v>
      </c>
      <c r="J15" t="s">
        <v>69</v>
      </c>
      <c r="K15">
        <v>600</v>
      </c>
      <c r="L15" t="s">
        <v>151</v>
      </c>
      <c r="M15" t="s">
        <v>69</v>
      </c>
      <c r="N15" t="s">
        <v>152</v>
      </c>
      <c r="O15" t="s">
        <v>69</v>
      </c>
      <c r="P15">
        <v>165.19200000000001</v>
      </c>
      <c r="Q15" t="s">
        <v>69</v>
      </c>
      <c r="R15" t="s">
        <v>69</v>
      </c>
      <c r="S15">
        <v>617</v>
      </c>
      <c r="T15" t="s">
        <v>145</v>
      </c>
      <c r="U15" t="s">
        <v>153</v>
      </c>
      <c r="V15" t="s">
        <v>71</v>
      </c>
      <c r="W15" t="s">
        <v>69</v>
      </c>
      <c r="X15">
        <v>131.17500000000001</v>
      </c>
      <c r="Y15" t="s">
        <v>69</v>
      </c>
      <c r="Z15" t="s">
        <v>69</v>
      </c>
      <c r="AA15">
        <v>620</v>
      </c>
      <c r="AB15" t="s">
        <v>149</v>
      </c>
      <c r="AC15" t="s">
        <v>69</v>
      </c>
      <c r="AD15" t="s">
        <v>150</v>
      </c>
      <c r="AE15" t="s">
        <v>69</v>
      </c>
      <c r="AF15">
        <v>119.119</v>
      </c>
      <c r="AG15" t="s">
        <v>69</v>
      </c>
      <c r="AH15" t="s">
        <v>69</v>
      </c>
      <c r="AI15">
        <v>626</v>
      </c>
      <c r="AJ15" t="s">
        <v>70</v>
      </c>
      <c r="AK15" t="s">
        <v>69</v>
      </c>
      <c r="AL15" t="s">
        <v>71</v>
      </c>
      <c r="AM15" t="s">
        <v>69</v>
      </c>
      <c r="AN15">
        <v>75.066999999999993</v>
      </c>
      <c r="AO15" t="s">
        <v>69</v>
      </c>
      <c r="AP15" t="s">
        <v>69</v>
      </c>
      <c r="AQ15">
        <v>627</v>
      </c>
      <c r="AR15" t="s">
        <v>151</v>
      </c>
      <c r="AS15" t="s">
        <v>69</v>
      </c>
      <c r="AT15" t="s">
        <v>152</v>
      </c>
      <c r="AU15" t="s">
        <v>69</v>
      </c>
      <c r="AV15">
        <v>165.19200000000001</v>
      </c>
      <c r="AW15" t="s">
        <v>69</v>
      </c>
      <c r="AX15" t="s">
        <v>69</v>
      </c>
      <c r="AY15">
        <v>630</v>
      </c>
      <c r="AZ15" t="s">
        <v>73</v>
      </c>
      <c r="BA15" t="s">
        <v>69</v>
      </c>
      <c r="BB15" t="s">
        <v>71</v>
      </c>
      <c r="BC15" t="s">
        <v>69</v>
      </c>
      <c r="BD15">
        <v>89.093999999999994</v>
      </c>
      <c r="BE15" t="s">
        <v>69</v>
      </c>
      <c r="BF15" t="s">
        <v>69</v>
      </c>
      <c r="BG15">
        <v>631</v>
      </c>
      <c r="BH15" t="s">
        <v>76</v>
      </c>
      <c r="BI15" t="s">
        <v>69</v>
      </c>
      <c r="BJ15" t="s">
        <v>75</v>
      </c>
      <c r="BK15" t="s">
        <v>69</v>
      </c>
      <c r="BL15">
        <v>146.18899999999999</v>
      </c>
      <c r="BM15" t="s">
        <v>69</v>
      </c>
      <c r="BN15" t="s">
        <v>69</v>
      </c>
      <c r="BO15">
        <v>663</v>
      </c>
      <c r="BP15" t="s">
        <v>146</v>
      </c>
      <c r="BQ15" t="s">
        <v>69</v>
      </c>
      <c r="BR15" t="s">
        <v>71</v>
      </c>
      <c r="BS15" t="s">
        <v>69</v>
      </c>
      <c r="BT15">
        <v>115.13200000000001</v>
      </c>
      <c r="BU15" t="s">
        <v>69</v>
      </c>
      <c r="BV15" t="s">
        <v>69</v>
      </c>
    </row>
    <row r="16" spans="1:74" x14ac:dyDescent="0.25">
      <c r="A16">
        <v>7</v>
      </c>
      <c r="B16" t="str">
        <f>HYPERLINK("http://www.ncbi.nlm.nih.gov/protein/XP_046931988.1","XP_046931988.1")</f>
        <v>XP_046931988.1</v>
      </c>
      <c r="C16">
        <v>38764</v>
      </c>
      <c r="D16" t="str">
        <f>HYPERLINK("http://www.ncbi.nlm.nih.gov/Taxonomy/Browser/wwwtax.cgi?mode=Info&amp;id=61384&amp;lvl=3&amp;lin=f&amp;keep=1&amp;srchmode=1&amp;unlock","61384")</f>
        <v>61384</v>
      </c>
      <c r="E16" t="s">
        <v>66</v>
      </c>
      <c r="F16" t="str">
        <f>HYPERLINK("http://www.ncbi.nlm.nih.gov/Taxonomy/Browser/wwwtax.cgi?mode=Info&amp;id=61384&amp;lvl=3&amp;lin=f&amp;keep=1&amp;srchmode=1&amp;unlock","Lynx rufus")</f>
        <v>Lynx rufus</v>
      </c>
      <c r="G16" t="s">
        <v>93</v>
      </c>
      <c r="H16" t="str">
        <f>HYPERLINK("http://www.ncbi.nlm.nih.gov/protein/XP_046931988.1","DNA polymerase alpha catalytic subunit isoform X1")</f>
        <v>DNA polymerase alpha catalytic subunit isoform X1</v>
      </c>
      <c r="I16" t="s">
        <v>266</v>
      </c>
      <c r="J16" t="s">
        <v>69</v>
      </c>
      <c r="K16">
        <v>600</v>
      </c>
      <c r="L16" t="s">
        <v>151</v>
      </c>
      <c r="M16" t="s">
        <v>69</v>
      </c>
      <c r="N16" t="s">
        <v>152</v>
      </c>
      <c r="O16" t="s">
        <v>69</v>
      </c>
      <c r="P16">
        <v>165.19200000000001</v>
      </c>
      <c r="Q16" t="s">
        <v>69</v>
      </c>
      <c r="R16" t="s">
        <v>69</v>
      </c>
      <c r="S16">
        <v>617</v>
      </c>
      <c r="T16" t="s">
        <v>145</v>
      </c>
      <c r="U16" t="s">
        <v>153</v>
      </c>
      <c r="V16" t="s">
        <v>71</v>
      </c>
      <c r="W16" t="s">
        <v>69</v>
      </c>
      <c r="X16">
        <v>131.17500000000001</v>
      </c>
      <c r="Y16" t="s">
        <v>69</v>
      </c>
      <c r="Z16" t="s">
        <v>69</v>
      </c>
      <c r="AA16">
        <v>620</v>
      </c>
      <c r="AB16" t="s">
        <v>149</v>
      </c>
      <c r="AC16" t="s">
        <v>69</v>
      </c>
      <c r="AD16" t="s">
        <v>150</v>
      </c>
      <c r="AE16" t="s">
        <v>69</v>
      </c>
      <c r="AF16">
        <v>119.119</v>
      </c>
      <c r="AG16" t="s">
        <v>69</v>
      </c>
      <c r="AH16" t="s">
        <v>69</v>
      </c>
      <c r="AI16">
        <v>626</v>
      </c>
      <c r="AJ16" t="s">
        <v>70</v>
      </c>
      <c r="AK16" t="s">
        <v>69</v>
      </c>
      <c r="AL16" t="s">
        <v>71</v>
      </c>
      <c r="AM16" t="s">
        <v>69</v>
      </c>
      <c r="AN16">
        <v>75.066999999999993</v>
      </c>
      <c r="AO16" t="s">
        <v>69</v>
      </c>
      <c r="AP16" t="s">
        <v>69</v>
      </c>
      <c r="AQ16">
        <v>627</v>
      </c>
      <c r="AR16" t="s">
        <v>151</v>
      </c>
      <c r="AS16" t="s">
        <v>69</v>
      </c>
      <c r="AT16" t="s">
        <v>152</v>
      </c>
      <c r="AU16" t="s">
        <v>69</v>
      </c>
      <c r="AV16">
        <v>165.19200000000001</v>
      </c>
      <c r="AW16" t="s">
        <v>69</v>
      </c>
      <c r="AX16" t="s">
        <v>69</v>
      </c>
      <c r="AY16">
        <v>630</v>
      </c>
      <c r="AZ16" t="s">
        <v>73</v>
      </c>
      <c r="BA16" t="s">
        <v>69</v>
      </c>
      <c r="BB16" t="s">
        <v>71</v>
      </c>
      <c r="BC16" t="s">
        <v>69</v>
      </c>
      <c r="BD16">
        <v>89.093999999999994</v>
      </c>
      <c r="BE16" t="s">
        <v>69</v>
      </c>
      <c r="BF16" t="s">
        <v>69</v>
      </c>
      <c r="BG16">
        <v>631</v>
      </c>
      <c r="BH16" t="s">
        <v>76</v>
      </c>
      <c r="BI16" t="s">
        <v>69</v>
      </c>
      <c r="BJ16" t="s">
        <v>75</v>
      </c>
      <c r="BK16" t="s">
        <v>69</v>
      </c>
      <c r="BL16">
        <v>146.18899999999999</v>
      </c>
      <c r="BM16" t="s">
        <v>69</v>
      </c>
      <c r="BN16" t="s">
        <v>69</v>
      </c>
      <c r="BO16">
        <v>663</v>
      </c>
      <c r="BP16" t="s">
        <v>146</v>
      </c>
      <c r="BQ16" t="s">
        <v>69</v>
      </c>
      <c r="BR16" t="s">
        <v>71</v>
      </c>
      <c r="BS16" t="s">
        <v>69</v>
      </c>
      <c r="BT16">
        <v>115.13200000000001</v>
      </c>
      <c r="BU16" t="s">
        <v>69</v>
      </c>
      <c r="BV16" t="s">
        <v>69</v>
      </c>
    </row>
    <row r="17" spans="1:74" x14ac:dyDescent="0.25">
      <c r="A17">
        <v>7</v>
      </c>
      <c r="B17" t="str">
        <f>HYPERLINK("http://www.ncbi.nlm.nih.gov/protein/XP_030161426.1","XP_030161426.1")</f>
        <v>XP_030161426.1</v>
      </c>
      <c r="C17">
        <v>42175</v>
      </c>
      <c r="D17" t="str">
        <f>HYPERLINK("http://www.ncbi.nlm.nih.gov/Taxonomy/Browser/wwwtax.cgi?mode=Info&amp;id=61383&amp;lvl=3&amp;lin=f&amp;keep=1&amp;srchmode=1&amp;unlock","61383")</f>
        <v>61383</v>
      </c>
      <c r="E17" t="s">
        <v>66</v>
      </c>
      <c r="F17" t="str">
        <f>HYPERLINK("http://www.ncbi.nlm.nih.gov/Taxonomy/Browser/wwwtax.cgi?mode=Info&amp;id=61383&amp;lvl=3&amp;lin=f&amp;keep=1&amp;srchmode=1&amp;unlock","Lynx canadensis")</f>
        <v>Lynx canadensis</v>
      </c>
      <c r="G17" t="s">
        <v>105</v>
      </c>
      <c r="H17" t="str">
        <f>HYPERLINK("http://www.ncbi.nlm.nih.gov/protein/XP_030161426.1","DNA polymerase alpha catalytic subunit")</f>
        <v>DNA polymerase alpha catalytic subunit</v>
      </c>
      <c r="I17" t="s">
        <v>266</v>
      </c>
      <c r="J17" t="s">
        <v>69</v>
      </c>
      <c r="K17">
        <v>600</v>
      </c>
      <c r="L17" t="s">
        <v>151</v>
      </c>
      <c r="M17" t="s">
        <v>69</v>
      </c>
      <c r="N17" t="s">
        <v>152</v>
      </c>
      <c r="O17" t="s">
        <v>69</v>
      </c>
      <c r="P17">
        <v>165.19200000000001</v>
      </c>
      <c r="Q17" t="s">
        <v>69</v>
      </c>
      <c r="R17" t="s">
        <v>69</v>
      </c>
      <c r="S17">
        <v>617</v>
      </c>
      <c r="T17" t="s">
        <v>145</v>
      </c>
      <c r="U17" t="s">
        <v>153</v>
      </c>
      <c r="V17" t="s">
        <v>71</v>
      </c>
      <c r="W17" t="s">
        <v>69</v>
      </c>
      <c r="X17">
        <v>131.17500000000001</v>
      </c>
      <c r="Y17" t="s">
        <v>69</v>
      </c>
      <c r="Z17" t="s">
        <v>69</v>
      </c>
      <c r="AA17">
        <v>620</v>
      </c>
      <c r="AB17" t="s">
        <v>149</v>
      </c>
      <c r="AC17" t="s">
        <v>69</v>
      </c>
      <c r="AD17" t="s">
        <v>150</v>
      </c>
      <c r="AE17" t="s">
        <v>69</v>
      </c>
      <c r="AF17">
        <v>119.119</v>
      </c>
      <c r="AG17" t="s">
        <v>69</v>
      </c>
      <c r="AH17" t="s">
        <v>69</v>
      </c>
      <c r="AI17">
        <v>626</v>
      </c>
      <c r="AJ17" t="s">
        <v>70</v>
      </c>
      <c r="AK17" t="s">
        <v>69</v>
      </c>
      <c r="AL17" t="s">
        <v>71</v>
      </c>
      <c r="AM17" t="s">
        <v>69</v>
      </c>
      <c r="AN17">
        <v>75.066999999999993</v>
      </c>
      <c r="AO17" t="s">
        <v>69</v>
      </c>
      <c r="AP17" t="s">
        <v>69</v>
      </c>
      <c r="AQ17">
        <v>627</v>
      </c>
      <c r="AR17" t="s">
        <v>151</v>
      </c>
      <c r="AS17" t="s">
        <v>69</v>
      </c>
      <c r="AT17" t="s">
        <v>152</v>
      </c>
      <c r="AU17" t="s">
        <v>69</v>
      </c>
      <c r="AV17">
        <v>165.19200000000001</v>
      </c>
      <c r="AW17" t="s">
        <v>69</v>
      </c>
      <c r="AX17" t="s">
        <v>69</v>
      </c>
      <c r="AY17">
        <v>630</v>
      </c>
      <c r="AZ17" t="s">
        <v>73</v>
      </c>
      <c r="BA17" t="s">
        <v>69</v>
      </c>
      <c r="BB17" t="s">
        <v>71</v>
      </c>
      <c r="BC17" t="s">
        <v>69</v>
      </c>
      <c r="BD17">
        <v>89.093999999999994</v>
      </c>
      <c r="BE17" t="s">
        <v>69</v>
      </c>
      <c r="BF17" t="s">
        <v>69</v>
      </c>
      <c r="BG17">
        <v>631</v>
      </c>
      <c r="BH17" t="s">
        <v>76</v>
      </c>
      <c r="BI17" t="s">
        <v>69</v>
      </c>
      <c r="BJ17" t="s">
        <v>75</v>
      </c>
      <c r="BK17" t="s">
        <v>69</v>
      </c>
      <c r="BL17">
        <v>146.18899999999999</v>
      </c>
      <c r="BM17" t="s">
        <v>69</v>
      </c>
      <c r="BN17" t="s">
        <v>69</v>
      </c>
      <c r="BO17">
        <v>663</v>
      </c>
      <c r="BP17" t="s">
        <v>146</v>
      </c>
      <c r="BQ17" t="s">
        <v>69</v>
      </c>
      <c r="BR17" t="s">
        <v>71</v>
      </c>
      <c r="BS17" t="s">
        <v>69</v>
      </c>
      <c r="BT17">
        <v>115.13200000000001</v>
      </c>
      <c r="BU17" t="s">
        <v>69</v>
      </c>
      <c r="BV17" t="s">
        <v>69</v>
      </c>
    </row>
    <row r="18" spans="1:74" x14ac:dyDescent="0.25">
      <c r="A18">
        <v>7</v>
      </c>
      <c r="B18" t="str">
        <f>HYPERLINK("http://www.ncbi.nlm.nih.gov/protein/XP_044090299.1","XP_044090299.1")</f>
        <v>XP_044090299.1</v>
      </c>
      <c r="C18">
        <v>44640</v>
      </c>
      <c r="D18" t="str">
        <f>HYPERLINK("http://www.ncbi.nlm.nih.gov/Taxonomy/Browser/wwwtax.cgi?mode=Info&amp;id=452646&amp;lvl=3&amp;lin=f&amp;keep=1&amp;srchmode=1&amp;unlock","452646")</f>
        <v>452646</v>
      </c>
      <c r="E18" t="s">
        <v>66</v>
      </c>
      <c r="F18" t="str">
        <f>HYPERLINK("http://www.ncbi.nlm.nih.gov/Taxonomy/Browser/wwwtax.cgi?mode=Info&amp;id=452646&amp;lvl=3&amp;lin=f&amp;keep=1&amp;srchmode=1&amp;unlock","Neogale vison")</f>
        <v>Neogale vison</v>
      </c>
      <c r="G18" t="s">
        <v>96</v>
      </c>
      <c r="H18" t="str">
        <f>HYPERLINK("http://www.ncbi.nlm.nih.gov/protein/XP_044090299.1","DNA polymerase alpha catalytic subunit isoform X1")</f>
        <v>DNA polymerase alpha catalytic subunit isoform X1</v>
      </c>
      <c r="I18" t="s">
        <v>266</v>
      </c>
      <c r="J18" t="s">
        <v>69</v>
      </c>
      <c r="K18">
        <v>600</v>
      </c>
      <c r="L18" t="s">
        <v>151</v>
      </c>
      <c r="M18" t="s">
        <v>69</v>
      </c>
      <c r="N18" t="s">
        <v>152</v>
      </c>
      <c r="O18" t="s">
        <v>69</v>
      </c>
      <c r="P18">
        <v>165.19200000000001</v>
      </c>
      <c r="Q18" t="s">
        <v>69</v>
      </c>
      <c r="R18" t="s">
        <v>69</v>
      </c>
      <c r="S18">
        <v>617</v>
      </c>
      <c r="T18" t="s">
        <v>145</v>
      </c>
      <c r="U18" t="s">
        <v>153</v>
      </c>
      <c r="V18" t="s">
        <v>71</v>
      </c>
      <c r="W18" t="s">
        <v>69</v>
      </c>
      <c r="X18">
        <v>131.17500000000001</v>
      </c>
      <c r="Y18" t="s">
        <v>69</v>
      </c>
      <c r="Z18" t="s">
        <v>69</v>
      </c>
      <c r="AA18">
        <v>620</v>
      </c>
      <c r="AB18" t="s">
        <v>149</v>
      </c>
      <c r="AC18" t="s">
        <v>69</v>
      </c>
      <c r="AD18" t="s">
        <v>150</v>
      </c>
      <c r="AE18" t="s">
        <v>69</v>
      </c>
      <c r="AF18">
        <v>119.119</v>
      </c>
      <c r="AG18" t="s">
        <v>69</v>
      </c>
      <c r="AH18" t="s">
        <v>69</v>
      </c>
      <c r="AI18">
        <v>626</v>
      </c>
      <c r="AJ18" t="s">
        <v>70</v>
      </c>
      <c r="AK18" t="s">
        <v>69</v>
      </c>
      <c r="AL18" t="s">
        <v>71</v>
      </c>
      <c r="AM18" t="s">
        <v>69</v>
      </c>
      <c r="AN18">
        <v>75.066999999999993</v>
      </c>
      <c r="AO18" t="s">
        <v>69</v>
      </c>
      <c r="AP18" t="s">
        <v>69</v>
      </c>
      <c r="AQ18">
        <v>627</v>
      </c>
      <c r="AR18" t="s">
        <v>151</v>
      </c>
      <c r="AS18" t="s">
        <v>69</v>
      </c>
      <c r="AT18" t="s">
        <v>152</v>
      </c>
      <c r="AU18" t="s">
        <v>69</v>
      </c>
      <c r="AV18">
        <v>165.19200000000001</v>
      </c>
      <c r="AW18" t="s">
        <v>69</v>
      </c>
      <c r="AX18" t="s">
        <v>69</v>
      </c>
      <c r="AY18">
        <v>630</v>
      </c>
      <c r="AZ18" t="s">
        <v>73</v>
      </c>
      <c r="BA18" t="s">
        <v>69</v>
      </c>
      <c r="BB18" t="s">
        <v>71</v>
      </c>
      <c r="BC18" t="s">
        <v>69</v>
      </c>
      <c r="BD18">
        <v>89.093999999999994</v>
      </c>
      <c r="BE18" t="s">
        <v>69</v>
      </c>
      <c r="BF18" t="s">
        <v>69</v>
      </c>
      <c r="BG18">
        <v>631</v>
      </c>
      <c r="BH18" t="s">
        <v>76</v>
      </c>
      <c r="BI18" t="s">
        <v>69</v>
      </c>
      <c r="BJ18" t="s">
        <v>75</v>
      </c>
      <c r="BK18" t="s">
        <v>69</v>
      </c>
      <c r="BL18">
        <v>146.18899999999999</v>
      </c>
      <c r="BM18" t="s">
        <v>69</v>
      </c>
      <c r="BN18" t="s">
        <v>69</v>
      </c>
      <c r="BO18">
        <v>663</v>
      </c>
      <c r="BP18" t="s">
        <v>146</v>
      </c>
      <c r="BQ18" t="s">
        <v>69</v>
      </c>
      <c r="BR18" t="s">
        <v>71</v>
      </c>
      <c r="BS18" t="s">
        <v>69</v>
      </c>
      <c r="BT18">
        <v>115.13200000000001</v>
      </c>
      <c r="BU18" t="s">
        <v>69</v>
      </c>
      <c r="BV18" t="s">
        <v>69</v>
      </c>
    </row>
    <row r="19" spans="1:74" x14ac:dyDescent="0.25">
      <c r="A19">
        <v>7</v>
      </c>
      <c r="B19" t="str">
        <f>HYPERLINK("http://www.ncbi.nlm.nih.gov/protein/XP_004769204.1","XP_004769204.1")</f>
        <v>XP_004769204.1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HYPERLINK("http://www.ncbi.nlm.nih.gov/protein/XP_004769204.1","DNA polymerase alpha catalytic subunit isoform X2")</f>
        <v>DNA polymerase alpha catalytic subunit isoform X2</v>
      </c>
      <c r="I19" t="s">
        <v>266</v>
      </c>
      <c r="J19" t="s">
        <v>69</v>
      </c>
      <c r="K19">
        <v>600</v>
      </c>
      <c r="L19" t="s">
        <v>151</v>
      </c>
      <c r="M19" t="s">
        <v>69</v>
      </c>
      <c r="N19" t="s">
        <v>152</v>
      </c>
      <c r="O19" t="s">
        <v>69</v>
      </c>
      <c r="P19">
        <v>165.19200000000001</v>
      </c>
      <c r="Q19" t="s">
        <v>69</v>
      </c>
      <c r="R19" t="s">
        <v>69</v>
      </c>
      <c r="S19">
        <v>617</v>
      </c>
      <c r="T19" t="s">
        <v>145</v>
      </c>
      <c r="U19" t="s">
        <v>153</v>
      </c>
      <c r="V19" t="s">
        <v>71</v>
      </c>
      <c r="W19" t="s">
        <v>69</v>
      </c>
      <c r="X19">
        <v>131.17500000000001</v>
      </c>
      <c r="Y19" t="s">
        <v>69</v>
      </c>
      <c r="Z19" t="s">
        <v>69</v>
      </c>
      <c r="AA19">
        <v>620</v>
      </c>
      <c r="AB19" t="s">
        <v>149</v>
      </c>
      <c r="AC19" t="s">
        <v>69</v>
      </c>
      <c r="AD19" t="s">
        <v>150</v>
      </c>
      <c r="AE19" t="s">
        <v>69</v>
      </c>
      <c r="AF19">
        <v>119.119</v>
      </c>
      <c r="AG19" t="s">
        <v>69</v>
      </c>
      <c r="AH19" t="s">
        <v>69</v>
      </c>
      <c r="AI19">
        <v>626</v>
      </c>
      <c r="AJ19" t="s">
        <v>70</v>
      </c>
      <c r="AK19" t="s">
        <v>69</v>
      </c>
      <c r="AL19" t="s">
        <v>71</v>
      </c>
      <c r="AM19" t="s">
        <v>69</v>
      </c>
      <c r="AN19">
        <v>75.066999999999993</v>
      </c>
      <c r="AO19" t="s">
        <v>69</v>
      </c>
      <c r="AP19" t="s">
        <v>69</v>
      </c>
      <c r="AQ19">
        <v>627</v>
      </c>
      <c r="AR19" t="s">
        <v>151</v>
      </c>
      <c r="AS19" t="s">
        <v>69</v>
      </c>
      <c r="AT19" t="s">
        <v>152</v>
      </c>
      <c r="AU19" t="s">
        <v>69</v>
      </c>
      <c r="AV19">
        <v>165.19200000000001</v>
      </c>
      <c r="AW19" t="s">
        <v>69</v>
      </c>
      <c r="AX19" t="s">
        <v>69</v>
      </c>
      <c r="AY19">
        <v>630</v>
      </c>
      <c r="AZ19" t="s">
        <v>73</v>
      </c>
      <c r="BA19" t="s">
        <v>69</v>
      </c>
      <c r="BB19" t="s">
        <v>71</v>
      </c>
      <c r="BC19" t="s">
        <v>69</v>
      </c>
      <c r="BD19">
        <v>89.093999999999994</v>
      </c>
      <c r="BE19" t="s">
        <v>69</v>
      </c>
      <c r="BF19" t="s">
        <v>69</v>
      </c>
      <c r="BG19">
        <v>631</v>
      </c>
      <c r="BH19" t="s">
        <v>76</v>
      </c>
      <c r="BI19" t="s">
        <v>69</v>
      </c>
      <c r="BJ19" t="s">
        <v>75</v>
      </c>
      <c r="BK19" t="s">
        <v>69</v>
      </c>
      <c r="BL19">
        <v>146.18899999999999</v>
      </c>
      <c r="BM19" t="s">
        <v>69</v>
      </c>
      <c r="BN19" t="s">
        <v>69</v>
      </c>
      <c r="BO19">
        <v>663</v>
      </c>
      <c r="BP19" t="s">
        <v>146</v>
      </c>
      <c r="BQ19" t="s">
        <v>69</v>
      </c>
      <c r="BR19" t="s">
        <v>71</v>
      </c>
      <c r="BS19" t="s">
        <v>69</v>
      </c>
      <c r="BT19">
        <v>115.13200000000001</v>
      </c>
      <c r="BU19" t="s">
        <v>69</v>
      </c>
      <c r="BV19" t="s">
        <v>69</v>
      </c>
    </row>
    <row r="20" spans="1:74" x14ac:dyDescent="0.25">
      <c r="A20">
        <v>7</v>
      </c>
      <c r="B20" t="str">
        <f>HYPERLINK("http://www.ncbi.nlm.nih.gov/protein/XP_047700378.1","XP_047700378.1")</f>
        <v>XP_047700378.1</v>
      </c>
      <c r="C20">
        <v>56399</v>
      </c>
      <c r="D20" t="str">
        <f>HYPERLINK("http://www.ncbi.nlm.nih.gov/Taxonomy/Browser/wwwtax.cgi?mode=Info&amp;id=61388&amp;lvl=3&amp;lin=f&amp;keep=1&amp;srchmode=1&amp;unlock","61388")</f>
        <v>61388</v>
      </c>
      <c r="E20" t="s">
        <v>66</v>
      </c>
      <c r="F20" t="str">
        <f>HYPERLINK("http://www.ncbi.nlm.nih.gov/Taxonomy/Browser/wwwtax.cgi?mode=Info&amp;id=61388&amp;lvl=3&amp;lin=f&amp;keep=1&amp;srchmode=1&amp;unlock","Prionailurus viverrinus")</f>
        <v>Prionailurus viverrinus</v>
      </c>
      <c r="G20" t="s">
        <v>94</v>
      </c>
      <c r="H20" t="str">
        <f>HYPERLINK("http://www.ncbi.nlm.nih.gov/protein/XP_047700378.1","DNA polymerase alpha catalytic subunit")</f>
        <v>DNA polymerase alpha catalytic subunit</v>
      </c>
      <c r="I20" t="s">
        <v>266</v>
      </c>
      <c r="J20" t="s">
        <v>69</v>
      </c>
      <c r="K20">
        <v>600</v>
      </c>
      <c r="L20" t="s">
        <v>151</v>
      </c>
      <c r="M20" t="s">
        <v>69</v>
      </c>
      <c r="N20" t="s">
        <v>152</v>
      </c>
      <c r="O20" t="s">
        <v>69</v>
      </c>
      <c r="P20">
        <v>165.19200000000001</v>
      </c>
      <c r="Q20" t="s">
        <v>69</v>
      </c>
      <c r="R20" t="s">
        <v>69</v>
      </c>
      <c r="S20">
        <v>617</v>
      </c>
      <c r="T20" t="s">
        <v>145</v>
      </c>
      <c r="U20" t="s">
        <v>153</v>
      </c>
      <c r="V20" t="s">
        <v>71</v>
      </c>
      <c r="W20" t="s">
        <v>69</v>
      </c>
      <c r="X20">
        <v>131.17500000000001</v>
      </c>
      <c r="Y20" t="s">
        <v>69</v>
      </c>
      <c r="Z20" t="s">
        <v>69</v>
      </c>
      <c r="AA20">
        <v>620</v>
      </c>
      <c r="AB20" t="s">
        <v>149</v>
      </c>
      <c r="AC20" t="s">
        <v>69</v>
      </c>
      <c r="AD20" t="s">
        <v>150</v>
      </c>
      <c r="AE20" t="s">
        <v>69</v>
      </c>
      <c r="AF20">
        <v>119.119</v>
      </c>
      <c r="AG20" t="s">
        <v>69</v>
      </c>
      <c r="AH20" t="s">
        <v>69</v>
      </c>
      <c r="AI20">
        <v>626</v>
      </c>
      <c r="AJ20" t="s">
        <v>70</v>
      </c>
      <c r="AK20" t="s">
        <v>69</v>
      </c>
      <c r="AL20" t="s">
        <v>71</v>
      </c>
      <c r="AM20" t="s">
        <v>69</v>
      </c>
      <c r="AN20">
        <v>75.066999999999993</v>
      </c>
      <c r="AO20" t="s">
        <v>69</v>
      </c>
      <c r="AP20" t="s">
        <v>69</v>
      </c>
      <c r="AQ20">
        <v>627</v>
      </c>
      <c r="AR20" t="s">
        <v>151</v>
      </c>
      <c r="AS20" t="s">
        <v>69</v>
      </c>
      <c r="AT20" t="s">
        <v>152</v>
      </c>
      <c r="AU20" t="s">
        <v>69</v>
      </c>
      <c r="AV20">
        <v>165.19200000000001</v>
      </c>
      <c r="AW20" t="s">
        <v>69</v>
      </c>
      <c r="AX20" t="s">
        <v>69</v>
      </c>
      <c r="AY20">
        <v>630</v>
      </c>
      <c r="AZ20" t="s">
        <v>73</v>
      </c>
      <c r="BA20" t="s">
        <v>69</v>
      </c>
      <c r="BB20" t="s">
        <v>71</v>
      </c>
      <c r="BC20" t="s">
        <v>69</v>
      </c>
      <c r="BD20">
        <v>89.093999999999994</v>
      </c>
      <c r="BE20" t="s">
        <v>69</v>
      </c>
      <c r="BF20" t="s">
        <v>69</v>
      </c>
      <c r="BG20">
        <v>631</v>
      </c>
      <c r="BH20" t="s">
        <v>76</v>
      </c>
      <c r="BI20" t="s">
        <v>69</v>
      </c>
      <c r="BJ20" t="s">
        <v>75</v>
      </c>
      <c r="BK20" t="s">
        <v>69</v>
      </c>
      <c r="BL20">
        <v>146.18899999999999</v>
      </c>
      <c r="BM20" t="s">
        <v>69</v>
      </c>
      <c r="BN20" t="s">
        <v>69</v>
      </c>
      <c r="BO20">
        <v>663</v>
      </c>
      <c r="BP20" t="s">
        <v>146</v>
      </c>
      <c r="BQ20" t="s">
        <v>69</v>
      </c>
      <c r="BR20" t="s">
        <v>71</v>
      </c>
      <c r="BS20" t="s">
        <v>69</v>
      </c>
      <c r="BT20">
        <v>115.13200000000001</v>
      </c>
      <c r="BU20" t="s">
        <v>69</v>
      </c>
      <c r="BV20" t="s">
        <v>69</v>
      </c>
    </row>
    <row r="21" spans="1:74" x14ac:dyDescent="0.25">
      <c r="A21">
        <v>7</v>
      </c>
      <c r="B21" t="str">
        <f>HYPERLINK("http://www.ncbi.nlm.nih.gov/protein/XP_006943693.1","XP_006943693.1")</f>
        <v>XP_006943693.1</v>
      </c>
      <c r="C21">
        <v>74287</v>
      </c>
      <c r="D21" t="str">
        <f>HYPERLINK("http://www.ncbi.nlm.nih.gov/Taxonomy/Browser/wwwtax.cgi?mode=Info&amp;id=9685&amp;lvl=3&amp;lin=f&amp;keep=1&amp;srchmode=1&amp;unlock","9685")</f>
        <v>9685</v>
      </c>
      <c r="E21" t="s">
        <v>66</v>
      </c>
      <c r="F21" t="str">
        <f>HYPERLINK("http://www.ncbi.nlm.nih.gov/Taxonomy/Browser/wwwtax.cgi?mode=Info&amp;id=9685&amp;lvl=3&amp;lin=f&amp;keep=1&amp;srchmode=1&amp;unlock","Felis catus")</f>
        <v>Felis catus</v>
      </c>
      <c r="G21" t="s">
        <v>86</v>
      </c>
      <c r="H21" t="str">
        <f>HYPERLINK("http://www.ncbi.nlm.nih.gov/protein/XP_006943693.1","DNA polymerase alpha catalytic subunit isoform X2")</f>
        <v>DNA polymerase alpha catalytic subunit isoform X2</v>
      </c>
      <c r="I21" t="s">
        <v>266</v>
      </c>
      <c r="J21" t="s">
        <v>69</v>
      </c>
      <c r="K21">
        <v>600</v>
      </c>
      <c r="L21" t="s">
        <v>151</v>
      </c>
      <c r="M21" t="s">
        <v>69</v>
      </c>
      <c r="N21" t="s">
        <v>152</v>
      </c>
      <c r="O21" t="s">
        <v>69</v>
      </c>
      <c r="P21">
        <v>165.19200000000001</v>
      </c>
      <c r="Q21" t="s">
        <v>69</v>
      </c>
      <c r="R21" t="s">
        <v>69</v>
      </c>
      <c r="S21">
        <v>617</v>
      </c>
      <c r="T21" t="s">
        <v>145</v>
      </c>
      <c r="U21" t="s">
        <v>153</v>
      </c>
      <c r="V21" t="s">
        <v>71</v>
      </c>
      <c r="W21" t="s">
        <v>69</v>
      </c>
      <c r="X21">
        <v>131.17500000000001</v>
      </c>
      <c r="Y21" t="s">
        <v>69</v>
      </c>
      <c r="Z21" t="s">
        <v>69</v>
      </c>
      <c r="AA21">
        <v>620</v>
      </c>
      <c r="AB21" t="s">
        <v>149</v>
      </c>
      <c r="AC21" t="s">
        <v>69</v>
      </c>
      <c r="AD21" t="s">
        <v>150</v>
      </c>
      <c r="AE21" t="s">
        <v>69</v>
      </c>
      <c r="AF21">
        <v>119.119</v>
      </c>
      <c r="AG21" t="s">
        <v>69</v>
      </c>
      <c r="AH21" t="s">
        <v>69</v>
      </c>
      <c r="AI21">
        <v>626</v>
      </c>
      <c r="AJ21" t="s">
        <v>70</v>
      </c>
      <c r="AK21" t="s">
        <v>69</v>
      </c>
      <c r="AL21" t="s">
        <v>71</v>
      </c>
      <c r="AM21" t="s">
        <v>69</v>
      </c>
      <c r="AN21">
        <v>75.066999999999993</v>
      </c>
      <c r="AO21" t="s">
        <v>69</v>
      </c>
      <c r="AP21" t="s">
        <v>69</v>
      </c>
      <c r="AQ21">
        <v>627</v>
      </c>
      <c r="AR21" t="s">
        <v>151</v>
      </c>
      <c r="AS21" t="s">
        <v>69</v>
      </c>
      <c r="AT21" t="s">
        <v>152</v>
      </c>
      <c r="AU21" t="s">
        <v>69</v>
      </c>
      <c r="AV21">
        <v>165.19200000000001</v>
      </c>
      <c r="AW21" t="s">
        <v>69</v>
      </c>
      <c r="AX21" t="s">
        <v>69</v>
      </c>
      <c r="AY21">
        <v>630</v>
      </c>
      <c r="AZ21" t="s">
        <v>73</v>
      </c>
      <c r="BA21" t="s">
        <v>69</v>
      </c>
      <c r="BB21" t="s">
        <v>71</v>
      </c>
      <c r="BC21" t="s">
        <v>69</v>
      </c>
      <c r="BD21">
        <v>89.093999999999994</v>
      </c>
      <c r="BE21" t="s">
        <v>69</v>
      </c>
      <c r="BF21" t="s">
        <v>69</v>
      </c>
      <c r="BG21">
        <v>631</v>
      </c>
      <c r="BH21" t="s">
        <v>76</v>
      </c>
      <c r="BI21" t="s">
        <v>69</v>
      </c>
      <c r="BJ21" t="s">
        <v>75</v>
      </c>
      <c r="BK21" t="s">
        <v>69</v>
      </c>
      <c r="BL21">
        <v>146.18899999999999</v>
      </c>
      <c r="BM21" t="s">
        <v>69</v>
      </c>
      <c r="BN21" t="s">
        <v>69</v>
      </c>
      <c r="BO21">
        <v>663</v>
      </c>
      <c r="BP21" t="s">
        <v>146</v>
      </c>
      <c r="BQ21" t="s">
        <v>69</v>
      </c>
      <c r="BR21" t="s">
        <v>71</v>
      </c>
      <c r="BS21" t="s">
        <v>69</v>
      </c>
      <c r="BT21">
        <v>115.13200000000001</v>
      </c>
      <c r="BU21" t="s">
        <v>69</v>
      </c>
      <c r="BV21" t="s">
        <v>69</v>
      </c>
    </row>
    <row r="22" spans="1:74" x14ac:dyDescent="0.25">
      <c r="A22">
        <v>7</v>
      </c>
      <c r="B22" t="str">
        <f>HYPERLINK("http://www.ncbi.nlm.nih.gov/protein/NP_001192994.1","NP_001192994.1")</f>
        <v>NP_001192994.1</v>
      </c>
      <c r="C22">
        <v>136186</v>
      </c>
      <c r="D22" t="str">
        <f>HYPERLINK("http://www.ncbi.nlm.nih.gov/Taxonomy/Browser/wwwtax.cgi?mode=Info&amp;id=9913&amp;lvl=3&amp;lin=f&amp;keep=1&amp;srchmode=1&amp;unlock","9913")</f>
        <v>9913</v>
      </c>
      <c r="E22" t="s">
        <v>66</v>
      </c>
      <c r="F22" t="str">
        <f>HYPERLINK("http://www.ncbi.nlm.nih.gov/Taxonomy/Browser/wwwtax.cgi?mode=Info&amp;id=9913&amp;lvl=3&amp;lin=f&amp;keep=1&amp;srchmode=1&amp;unlock","Bos taurus")</f>
        <v>Bos taurus</v>
      </c>
      <c r="G22" t="s">
        <v>82</v>
      </c>
      <c r="H22" t="str">
        <f>HYPERLINK("http://www.ncbi.nlm.nih.gov/protein/NP_001192994.1","DNA polymerase alpha catalytic subunit")</f>
        <v>DNA polymerase alpha catalytic subunit</v>
      </c>
      <c r="I22" t="s">
        <v>266</v>
      </c>
      <c r="J22" t="s">
        <v>69</v>
      </c>
      <c r="K22">
        <v>594</v>
      </c>
      <c r="L22" t="s">
        <v>151</v>
      </c>
      <c r="M22" t="s">
        <v>69</v>
      </c>
      <c r="N22" t="s">
        <v>152</v>
      </c>
      <c r="O22" t="s">
        <v>69</v>
      </c>
      <c r="P22">
        <v>165.19200000000001</v>
      </c>
      <c r="Q22" t="s">
        <v>69</v>
      </c>
      <c r="R22" t="s">
        <v>69</v>
      </c>
      <c r="S22">
        <v>611</v>
      </c>
      <c r="T22" t="s">
        <v>115</v>
      </c>
      <c r="U22" t="s">
        <v>69</v>
      </c>
      <c r="V22" t="s">
        <v>71</v>
      </c>
      <c r="W22" t="s">
        <v>69</v>
      </c>
      <c r="X22">
        <v>117.148</v>
      </c>
      <c r="Y22" t="s">
        <v>69</v>
      </c>
      <c r="Z22" t="s">
        <v>69</v>
      </c>
      <c r="AA22">
        <v>614</v>
      </c>
      <c r="AB22" t="s">
        <v>149</v>
      </c>
      <c r="AC22" t="s">
        <v>69</v>
      </c>
      <c r="AD22" t="s">
        <v>150</v>
      </c>
      <c r="AE22" t="s">
        <v>69</v>
      </c>
      <c r="AF22">
        <v>119.119</v>
      </c>
      <c r="AG22" t="s">
        <v>69</v>
      </c>
      <c r="AH22" t="s">
        <v>69</v>
      </c>
      <c r="AI22">
        <v>620</v>
      </c>
      <c r="AJ22" t="s">
        <v>70</v>
      </c>
      <c r="AK22" t="s">
        <v>69</v>
      </c>
      <c r="AL22" t="s">
        <v>71</v>
      </c>
      <c r="AM22" t="s">
        <v>69</v>
      </c>
      <c r="AN22">
        <v>75.066999999999993</v>
      </c>
      <c r="AO22" t="s">
        <v>69</v>
      </c>
      <c r="AP22" t="s">
        <v>69</v>
      </c>
      <c r="AQ22">
        <v>621</v>
      </c>
      <c r="AR22" t="s">
        <v>151</v>
      </c>
      <c r="AS22" t="s">
        <v>69</v>
      </c>
      <c r="AT22" t="s">
        <v>152</v>
      </c>
      <c r="AU22" t="s">
        <v>69</v>
      </c>
      <c r="AV22">
        <v>165.19200000000001</v>
      </c>
      <c r="AW22" t="s">
        <v>69</v>
      </c>
      <c r="AX22" t="s">
        <v>69</v>
      </c>
      <c r="AY22">
        <v>624</v>
      </c>
      <c r="AZ22" t="s">
        <v>73</v>
      </c>
      <c r="BA22" t="s">
        <v>69</v>
      </c>
      <c r="BB22" t="s">
        <v>71</v>
      </c>
      <c r="BC22" t="s">
        <v>69</v>
      </c>
      <c r="BD22">
        <v>89.093999999999994</v>
      </c>
      <c r="BE22" t="s">
        <v>69</v>
      </c>
      <c r="BF22" t="s">
        <v>69</v>
      </c>
      <c r="BG22">
        <v>625</v>
      </c>
      <c r="BH22" t="s">
        <v>76</v>
      </c>
      <c r="BI22" t="s">
        <v>69</v>
      </c>
      <c r="BJ22" t="s">
        <v>75</v>
      </c>
      <c r="BK22" t="s">
        <v>69</v>
      </c>
      <c r="BL22">
        <v>146.18899999999999</v>
      </c>
      <c r="BM22" t="s">
        <v>69</v>
      </c>
      <c r="BN22" t="s">
        <v>69</v>
      </c>
      <c r="BO22">
        <v>657</v>
      </c>
      <c r="BP22" t="s">
        <v>146</v>
      </c>
      <c r="BQ22" t="s">
        <v>69</v>
      </c>
      <c r="BR22" t="s">
        <v>71</v>
      </c>
      <c r="BS22" t="s">
        <v>69</v>
      </c>
      <c r="BT22">
        <v>115.13200000000001</v>
      </c>
      <c r="BU22" t="s">
        <v>69</v>
      </c>
      <c r="BV22" t="s">
        <v>69</v>
      </c>
    </row>
    <row r="23" spans="1:74" x14ac:dyDescent="0.25">
      <c r="A23">
        <v>7</v>
      </c>
      <c r="B23" t="str">
        <f>HYPERLINK("http://www.ncbi.nlm.nih.gov/protein/XP_015976828.1","XP_015976828.1")</f>
        <v>XP_015976828.1</v>
      </c>
      <c r="C23">
        <v>117142</v>
      </c>
      <c r="D23" t="str">
        <f>HYPERLINK("http://www.ncbi.nlm.nih.gov/Taxonomy/Browser/wwwtax.cgi?mode=Info&amp;id=9407&amp;lvl=3&amp;lin=f&amp;keep=1&amp;srchmode=1&amp;unlock","9407")</f>
        <v>9407</v>
      </c>
      <c r="E23" t="s">
        <v>66</v>
      </c>
      <c r="F23" t="str">
        <f>HYPERLINK("http://www.ncbi.nlm.nih.gov/Taxonomy/Browser/wwwtax.cgi?mode=Info&amp;id=9407&amp;lvl=3&amp;lin=f&amp;keep=1&amp;srchmode=1&amp;unlock","Rousettus aegyptiacus")</f>
        <v>Rousettus aegyptiacus</v>
      </c>
      <c r="G23" t="s">
        <v>103</v>
      </c>
      <c r="H23" t="str">
        <f>HYPERLINK("http://www.ncbi.nlm.nih.gov/protein/XP_015976828.1","DNA polymerase alpha catalytic subunit isoform X3")</f>
        <v>DNA polymerase alpha catalytic subunit isoform X3</v>
      </c>
      <c r="I23" t="s">
        <v>266</v>
      </c>
      <c r="J23" t="s">
        <v>69</v>
      </c>
      <c r="K23">
        <v>592</v>
      </c>
      <c r="L23" t="s">
        <v>151</v>
      </c>
      <c r="M23" t="s">
        <v>69</v>
      </c>
      <c r="N23" t="s">
        <v>152</v>
      </c>
      <c r="O23" t="s">
        <v>69</v>
      </c>
      <c r="P23">
        <v>165.19200000000001</v>
      </c>
      <c r="Q23" t="s">
        <v>69</v>
      </c>
      <c r="R23" t="s">
        <v>69</v>
      </c>
      <c r="S23">
        <v>609</v>
      </c>
      <c r="T23" t="s">
        <v>115</v>
      </c>
      <c r="U23" t="s">
        <v>69</v>
      </c>
      <c r="V23" t="s">
        <v>71</v>
      </c>
      <c r="W23" t="s">
        <v>69</v>
      </c>
      <c r="X23">
        <v>117.148</v>
      </c>
      <c r="Y23" t="s">
        <v>69</v>
      </c>
      <c r="Z23" t="s">
        <v>69</v>
      </c>
      <c r="AA23">
        <v>612</v>
      </c>
      <c r="AB23" t="s">
        <v>149</v>
      </c>
      <c r="AC23" t="s">
        <v>69</v>
      </c>
      <c r="AD23" t="s">
        <v>150</v>
      </c>
      <c r="AE23" t="s">
        <v>69</v>
      </c>
      <c r="AF23">
        <v>119.119</v>
      </c>
      <c r="AG23" t="s">
        <v>69</v>
      </c>
      <c r="AH23" t="s">
        <v>69</v>
      </c>
      <c r="AI23">
        <v>618</v>
      </c>
      <c r="AJ23" t="s">
        <v>70</v>
      </c>
      <c r="AK23" t="s">
        <v>69</v>
      </c>
      <c r="AL23" t="s">
        <v>71</v>
      </c>
      <c r="AM23" t="s">
        <v>69</v>
      </c>
      <c r="AN23">
        <v>75.066999999999993</v>
      </c>
      <c r="AO23" t="s">
        <v>69</v>
      </c>
      <c r="AP23" t="s">
        <v>69</v>
      </c>
      <c r="AQ23">
        <v>619</v>
      </c>
      <c r="AR23" t="s">
        <v>151</v>
      </c>
      <c r="AS23" t="s">
        <v>69</v>
      </c>
      <c r="AT23" t="s">
        <v>152</v>
      </c>
      <c r="AU23" t="s">
        <v>69</v>
      </c>
      <c r="AV23">
        <v>165.19200000000001</v>
      </c>
      <c r="AW23" t="s">
        <v>69</v>
      </c>
      <c r="AX23" t="s">
        <v>69</v>
      </c>
      <c r="AY23">
        <v>622</v>
      </c>
      <c r="AZ23" t="s">
        <v>73</v>
      </c>
      <c r="BA23" t="s">
        <v>69</v>
      </c>
      <c r="BB23" t="s">
        <v>71</v>
      </c>
      <c r="BC23" t="s">
        <v>69</v>
      </c>
      <c r="BD23">
        <v>89.093999999999994</v>
      </c>
      <c r="BE23" t="s">
        <v>69</v>
      </c>
      <c r="BF23" t="s">
        <v>69</v>
      </c>
      <c r="BG23">
        <v>623</v>
      </c>
      <c r="BH23" t="s">
        <v>76</v>
      </c>
      <c r="BI23" t="s">
        <v>69</v>
      </c>
      <c r="BJ23" t="s">
        <v>75</v>
      </c>
      <c r="BK23" t="s">
        <v>69</v>
      </c>
      <c r="BL23">
        <v>146.18899999999999</v>
      </c>
      <c r="BM23" t="s">
        <v>69</v>
      </c>
      <c r="BN23" t="s">
        <v>69</v>
      </c>
      <c r="BO23">
        <v>655</v>
      </c>
      <c r="BP23" t="s">
        <v>146</v>
      </c>
      <c r="BQ23" t="s">
        <v>69</v>
      </c>
      <c r="BR23" t="s">
        <v>71</v>
      </c>
      <c r="BS23" t="s">
        <v>69</v>
      </c>
      <c r="BT23">
        <v>115.13200000000001</v>
      </c>
      <c r="BU23" t="s">
        <v>69</v>
      </c>
      <c r="BV23" t="s">
        <v>69</v>
      </c>
    </row>
    <row r="24" spans="1:74" x14ac:dyDescent="0.25">
      <c r="A24">
        <v>7</v>
      </c>
      <c r="B24" t="str">
        <f>HYPERLINK("http://www.ncbi.nlm.nih.gov/protein/NP_445931.1","NP_445931.1")</f>
        <v>NP_445931.1</v>
      </c>
      <c r="C24">
        <v>158159</v>
      </c>
      <c r="D24" t="str">
        <f>HYPERLINK("http://www.ncbi.nlm.nih.gov/Taxonomy/Browser/wwwtax.cgi?mode=Info&amp;id=10116&amp;lvl=3&amp;lin=f&amp;keep=1&amp;srchmode=1&amp;unlock","10116")</f>
        <v>10116</v>
      </c>
      <c r="E24" t="s">
        <v>66</v>
      </c>
      <c r="F24" t="str">
        <f>HYPERLINK("http://www.ncbi.nlm.nih.gov/Taxonomy/Browser/wwwtax.cgi?mode=Info&amp;id=10116&amp;lvl=3&amp;lin=f&amp;keep=1&amp;srchmode=1&amp;unlock","Rattus norvegicus")</f>
        <v>Rattus norvegicus</v>
      </c>
      <c r="G24" t="s">
        <v>102</v>
      </c>
      <c r="H24" t="str">
        <f>HYPERLINK("http://www.ncbi.nlm.nih.gov/protein/NP_445931.1","DNA polymerase alpha catalytic subunit")</f>
        <v>DNA polymerase alpha catalytic subunit</v>
      </c>
      <c r="I24" t="s">
        <v>266</v>
      </c>
      <c r="J24" t="s">
        <v>69</v>
      </c>
      <c r="K24">
        <v>601</v>
      </c>
      <c r="L24" t="s">
        <v>151</v>
      </c>
      <c r="M24" t="s">
        <v>69</v>
      </c>
      <c r="N24" t="s">
        <v>152</v>
      </c>
      <c r="O24" t="s">
        <v>69</v>
      </c>
      <c r="P24">
        <v>165.19200000000001</v>
      </c>
      <c r="Q24" t="s">
        <v>69</v>
      </c>
      <c r="R24" t="s">
        <v>69</v>
      </c>
      <c r="S24">
        <v>618</v>
      </c>
      <c r="T24" t="s">
        <v>115</v>
      </c>
      <c r="U24" t="s">
        <v>69</v>
      </c>
      <c r="V24" t="s">
        <v>71</v>
      </c>
      <c r="W24" t="s">
        <v>69</v>
      </c>
      <c r="X24">
        <v>117.148</v>
      </c>
      <c r="Y24" t="s">
        <v>69</v>
      </c>
      <c r="Z24" t="s">
        <v>69</v>
      </c>
      <c r="AA24">
        <v>621</v>
      </c>
      <c r="AB24" t="s">
        <v>149</v>
      </c>
      <c r="AC24" t="s">
        <v>69</v>
      </c>
      <c r="AD24" t="s">
        <v>150</v>
      </c>
      <c r="AE24" t="s">
        <v>69</v>
      </c>
      <c r="AF24">
        <v>119.119</v>
      </c>
      <c r="AG24" t="s">
        <v>69</v>
      </c>
      <c r="AH24" t="s">
        <v>69</v>
      </c>
      <c r="AI24">
        <v>627</v>
      </c>
      <c r="AJ24" t="s">
        <v>70</v>
      </c>
      <c r="AK24" t="s">
        <v>69</v>
      </c>
      <c r="AL24" t="s">
        <v>71</v>
      </c>
      <c r="AM24" t="s">
        <v>69</v>
      </c>
      <c r="AN24">
        <v>75.066999999999993</v>
      </c>
      <c r="AO24" t="s">
        <v>69</v>
      </c>
      <c r="AP24" t="s">
        <v>69</v>
      </c>
      <c r="AQ24">
        <v>628</v>
      </c>
      <c r="AR24" t="s">
        <v>151</v>
      </c>
      <c r="AS24" t="s">
        <v>69</v>
      </c>
      <c r="AT24" t="s">
        <v>152</v>
      </c>
      <c r="AU24" t="s">
        <v>69</v>
      </c>
      <c r="AV24">
        <v>165.19200000000001</v>
      </c>
      <c r="AW24" t="s">
        <v>69</v>
      </c>
      <c r="AX24" t="s">
        <v>69</v>
      </c>
      <c r="AY24">
        <v>631</v>
      </c>
      <c r="AZ24" t="s">
        <v>73</v>
      </c>
      <c r="BA24" t="s">
        <v>69</v>
      </c>
      <c r="BB24" t="s">
        <v>71</v>
      </c>
      <c r="BC24" t="s">
        <v>69</v>
      </c>
      <c r="BD24">
        <v>89.093999999999994</v>
      </c>
      <c r="BE24" t="s">
        <v>69</v>
      </c>
      <c r="BF24" t="s">
        <v>69</v>
      </c>
      <c r="BG24">
        <v>632</v>
      </c>
      <c r="BH24" t="s">
        <v>76</v>
      </c>
      <c r="BI24" t="s">
        <v>69</v>
      </c>
      <c r="BJ24" t="s">
        <v>75</v>
      </c>
      <c r="BK24" t="s">
        <v>69</v>
      </c>
      <c r="BL24">
        <v>146.18899999999999</v>
      </c>
      <c r="BM24" t="s">
        <v>69</v>
      </c>
      <c r="BN24" t="s">
        <v>69</v>
      </c>
      <c r="BO24">
        <v>664</v>
      </c>
      <c r="BP24" t="s">
        <v>146</v>
      </c>
      <c r="BQ24" t="s">
        <v>69</v>
      </c>
      <c r="BR24" t="s">
        <v>71</v>
      </c>
      <c r="BS24" t="s">
        <v>69</v>
      </c>
      <c r="BT24">
        <v>115.13200000000001</v>
      </c>
      <c r="BU24" t="s">
        <v>69</v>
      </c>
      <c r="BV24" t="s">
        <v>69</v>
      </c>
    </row>
    <row r="25" spans="1:74" x14ac:dyDescent="0.25">
      <c r="A25">
        <v>7</v>
      </c>
      <c r="B25" t="str">
        <f>HYPERLINK("http://www.ncbi.nlm.nih.gov/protein/XP_017526531.2","XP_017526531.2")</f>
        <v>XP_017526531.2</v>
      </c>
      <c r="C25">
        <v>56064</v>
      </c>
      <c r="D25" t="str">
        <f>HYPERLINK("http://www.ncbi.nlm.nih.gov/Taxonomy/Browser/wwwtax.cgi?mode=Info&amp;id=9974&amp;lvl=3&amp;lin=f&amp;keep=1&amp;srchmode=1&amp;unlock","9974")</f>
        <v>9974</v>
      </c>
      <c r="E25" t="s">
        <v>66</v>
      </c>
      <c r="F25" t="str">
        <f>HYPERLINK("http://www.ncbi.nlm.nih.gov/Taxonomy/Browser/wwwtax.cgi?mode=Info&amp;id=9974&amp;lvl=3&amp;lin=f&amp;keep=1&amp;srchmode=1&amp;unlock","Manis javanica")</f>
        <v>Manis javanica</v>
      </c>
      <c r="G25" t="s">
        <v>100</v>
      </c>
      <c r="H25" t="str">
        <f>HYPERLINK("http://www.ncbi.nlm.nih.gov/protein/XP_017526531.2","DNA polymerase alpha catalytic subunit isoform X2")</f>
        <v>DNA polymerase alpha catalytic subunit isoform X2</v>
      </c>
      <c r="I25" t="s">
        <v>266</v>
      </c>
      <c r="J25" t="s">
        <v>153</v>
      </c>
      <c r="K25">
        <v>597</v>
      </c>
      <c r="L25" t="s">
        <v>72</v>
      </c>
      <c r="M25" t="s">
        <v>153</v>
      </c>
      <c r="N25" t="s">
        <v>71</v>
      </c>
      <c r="O25" t="s">
        <v>153</v>
      </c>
      <c r="P25">
        <v>131.17500000000001</v>
      </c>
      <c r="Q25" t="s">
        <v>153</v>
      </c>
      <c r="R25" t="s">
        <v>153</v>
      </c>
      <c r="S25">
        <v>614</v>
      </c>
      <c r="T25" t="s">
        <v>115</v>
      </c>
      <c r="U25" t="s">
        <v>69</v>
      </c>
      <c r="V25" t="s">
        <v>71</v>
      </c>
      <c r="W25" t="s">
        <v>69</v>
      </c>
      <c r="X25">
        <v>117.148</v>
      </c>
      <c r="Y25" t="s">
        <v>69</v>
      </c>
      <c r="Z25" t="s">
        <v>69</v>
      </c>
      <c r="AA25">
        <v>617</v>
      </c>
      <c r="AB25" t="s">
        <v>149</v>
      </c>
      <c r="AC25" t="s">
        <v>69</v>
      </c>
      <c r="AD25" t="s">
        <v>150</v>
      </c>
      <c r="AE25" t="s">
        <v>69</v>
      </c>
      <c r="AF25">
        <v>119.119</v>
      </c>
      <c r="AG25" t="s">
        <v>69</v>
      </c>
      <c r="AH25" t="s">
        <v>69</v>
      </c>
      <c r="AI25">
        <v>623</v>
      </c>
      <c r="AJ25" t="s">
        <v>70</v>
      </c>
      <c r="AK25" t="s">
        <v>69</v>
      </c>
      <c r="AL25" t="s">
        <v>71</v>
      </c>
      <c r="AM25" t="s">
        <v>69</v>
      </c>
      <c r="AN25">
        <v>75.066999999999993</v>
      </c>
      <c r="AO25" t="s">
        <v>69</v>
      </c>
      <c r="AP25" t="s">
        <v>69</v>
      </c>
      <c r="AQ25">
        <v>624</v>
      </c>
      <c r="AR25" t="s">
        <v>151</v>
      </c>
      <c r="AS25" t="s">
        <v>69</v>
      </c>
      <c r="AT25" t="s">
        <v>152</v>
      </c>
      <c r="AU25" t="s">
        <v>69</v>
      </c>
      <c r="AV25">
        <v>165.19200000000001</v>
      </c>
      <c r="AW25" t="s">
        <v>69</v>
      </c>
      <c r="AX25" t="s">
        <v>69</v>
      </c>
      <c r="AY25">
        <v>627</v>
      </c>
      <c r="AZ25" t="s">
        <v>73</v>
      </c>
      <c r="BA25" t="s">
        <v>69</v>
      </c>
      <c r="BB25" t="s">
        <v>71</v>
      </c>
      <c r="BC25" t="s">
        <v>69</v>
      </c>
      <c r="BD25">
        <v>89.093999999999994</v>
      </c>
      <c r="BE25" t="s">
        <v>69</v>
      </c>
      <c r="BF25" t="s">
        <v>69</v>
      </c>
      <c r="BG25">
        <v>628</v>
      </c>
      <c r="BH25" t="s">
        <v>76</v>
      </c>
      <c r="BI25" t="s">
        <v>69</v>
      </c>
      <c r="BJ25" t="s">
        <v>75</v>
      </c>
      <c r="BK25" t="s">
        <v>69</v>
      </c>
      <c r="BL25">
        <v>146.18899999999999</v>
      </c>
      <c r="BM25" t="s">
        <v>69</v>
      </c>
      <c r="BN25" t="s">
        <v>69</v>
      </c>
      <c r="BO25">
        <v>660</v>
      </c>
      <c r="BP25" t="s">
        <v>146</v>
      </c>
      <c r="BQ25" t="s">
        <v>69</v>
      </c>
      <c r="BR25" t="s">
        <v>71</v>
      </c>
      <c r="BS25" t="s">
        <v>69</v>
      </c>
      <c r="BT25">
        <v>115.13200000000001</v>
      </c>
      <c r="BU25" t="s">
        <v>69</v>
      </c>
      <c r="BV25" t="s">
        <v>69</v>
      </c>
    </row>
    <row r="26" spans="1:74" x14ac:dyDescent="0.25">
      <c r="A26">
        <v>7</v>
      </c>
      <c r="B26" t="str">
        <f>HYPERLINK("http://www.ncbi.nlm.nih.gov/protein/XP_040600128.1","XP_040600128.1")</f>
        <v>XP_040600128.1</v>
      </c>
      <c r="C26">
        <v>54410</v>
      </c>
      <c r="D26" t="str">
        <f>HYPERLINK("http://www.ncbi.nlm.nih.gov/Taxonomy/Browser/wwwtax.cgi?mode=Info&amp;id=10036&amp;lvl=3&amp;lin=f&amp;keep=1&amp;srchmode=1&amp;unlock","10036")</f>
        <v>10036</v>
      </c>
      <c r="E26" t="s">
        <v>66</v>
      </c>
      <c r="F26" t="str">
        <f>HYPERLINK("http://www.ncbi.nlm.nih.gov/Taxonomy/Browser/wwwtax.cgi?mode=Info&amp;id=10036&amp;lvl=3&amp;lin=f&amp;keep=1&amp;srchmode=1&amp;unlock","Mesocricetus auratus")</f>
        <v>Mesocricetus auratus</v>
      </c>
      <c r="G26" t="s">
        <v>87</v>
      </c>
      <c r="H26" t="str">
        <f>HYPERLINK("http://www.ncbi.nlm.nih.gov/protein/XP_040600128.1","DNA polymerase alpha catalytic subunit")</f>
        <v>DNA polymerase alpha catalytic subunit</v>
      </c>
      <c r="I26" t="s">
        <v>266</v>
      </c>
      <c r="J26" t="s">
        <v>69</v>
      </c>
      <c r="K26">
        <v>600</v>
      </c>
      <c r="L26" t="s">
        <v>151</v>
      </c>
      <c r="M26" t="s">
        <v>69</v>
      </c>
      <c r="N26" t="s">
        <v>152</v>
      </c>
      <c r="O26" t="s">
        <v>69</v>
      </c>
      <c r="P26">
        <v>165.19200000000001</v>
      </c>
      <c r="Q26" t="s">
        <v>69</v>
      </c>
      <c r="R26" t="s">
        <v>69</v>
      </c>
      <c r="S26">
        <v>617</v>
      </c>
      <c r="T26" t="s">
        <v>115</v>
      </c>
      <c r="U26" t="s">
        <v>69</v>
      </c>
      <c r="V26" t="s">
        <v>71</v>
      </c>
      <c r="W26" t="s">
        <v>69</v>
      </c>
      <c r="X26">
        <v>117.148</v>
      </c>
      <c r="Y26" t="s">
        <v>69</v>
      </c>
      <c r="Z26" t="s">
        <v>69</v>
      </c>
      <c r="AA26">
        <v>620</v>
      </c>
      <c r="AB26" t="s">
        <v>149</v>
      </c>
      <c r="AC26" t="s">
        <v>69</v>
      </c>
      <c r="AD26" t="s">
        <v>150</v>
      </c>
      <c r="AE26" t="s">
        <v>69</v>
      </c>
      <c r="AF26">
        <v>119.119</v>
      </c>
      <c r="AG26" t="s">
        <v>69</v>
      </c>
      <c r="AH26" t="s">
        <v>69</v>
      </c>
      <c r="AI26">
        <v>626</v>
      </c>
      <c r="AJ26" t="s">
        <v>70</v>
      </c>
      <c r="AK26" t="s">
        <v>69</v>
      </c>
      <c r="AL26" t="s">
        <v>71</v>
      </c>
      <c r="AM26" t="s">
        <v>69</v>
      </c>
      <c r="AN26">
        <v>75.066999999999993</v>
      </c>
      <c r="AO26" t="s">
        <v>69</v>
      </c>
      <c r="AP26" t="s">
        <v>69</v>
      </c>
      <c r="AQ26">
        <v>627</v>
      </c>
      <c r="AR26" t="s">
        <v>151</v>
      </c>
      <c r="AS26" t="s">
        <v>69</v>
      </c>
      <c r="AT26" t="s">
        <v>152</v>
      </c>
      <c r="AU26" t="s">
        <v>69</v>
      </c>
      <c r="AV26">
        <v>165.19200000000001</v>
      </c>
      <c r="AW26" t="s">
        <v>69</v>
      </c>
      <c r="AX26" t="s">
        <v>69</v>
      </c>
      <c r="AY26">
        <v>630</v>
      </c>
      <c r="AZ26" t="s">
        <v>73</v>
      </c>
      <c r="BA26" t="s">
        <v>69</v>
      </c>
      <c r="BB26" t="s">
        <v>71</v>
      </c>
      <c r="BC26" t="s">
        <v>69</v>
      </c>
      <c r="BD26">
        <v>89.093999999999994</v>
      </c>
      <c r="BE26" t="s">
        <v>69</v>
      </c>
      <c r="BF26" t="s">
        <v>69</v>
      </c>
      <c r="BG26">
        <v>631</v>
      </c>
      <c r="BH26" t="s">
        <v>76</v>
      </c>
      <c r="BI26" t="s">
        <v>69</v>
      </c>
      <c r="BJ26" t="s">
        <v>75</v>
      </c>
      <c r="BK26" t="s">
        <v>69</v>
      </c>
      <c r="BL26">
        <v>146.18899999999999</v>
      </c>
      <c r="BM26" t="s">
        <v>69</v>
      </c>
      <c r="BN26" t="s">
        <v>69</v>
      </c>
      <c r="BO26">
        <v>663</v>
      </c>
      <c r="BP26" t="s">
        <v>146</v>
      </c>
      <c r="BQ26" t="s">
        <v>69</v>
      </c>
      <c r="BR26" t="s">
        <v>71</v>
      </c>
      <c r="BS26" t="s">
        <v>69</v>
      </c>
      <c r="BT26">
        <v>115.13200000000001</v>
      </c>
      <c r="BU26" t="s">
        <v>69</v>
      </c>
      <c r="BV26" t="s">
        <v>69</v>
      </c>
    </row>
    <row r="27" spans="1:74" x14ac:dyDescent="0.25">
      <c r="A27">
        <v>7</v>
      </c>
      <c r="B27" t="str">
        <f>HYPERLINK("http://www.ncbi.nlm.nih.gov/protein/XP_006990181.1","XP_006990181.1")</f>
        <v>XP_006990181.1</v>
      </c>
      <c r="C27">
        <v>54287</v>
      </c>
      <c r="D27" t="str">
        <f>HYPERLINK("http://www.ncbi.nlm.nih.gov/Taxonomy/Browser/wwwtax.cgi?mode=Info&amp;id=230844&amp;lvl=3&amp;lin=f&amp;keep=1&amp;srchmode=1&amp;unlock","230844")</f>
        <v>230844</v>
      </c>
      <c r="E27" t="s">
        <v>66</v>
      </c>
      <c r="F27" t="str">
        <f>HYPERLINK("http://www.ncbi.nlm.nih.gov/Taxonomy/Browser/wwwtax.cgi?mode=Info&amp;id=230844&amp;lvl=3&amp;lin=f&amp;keep=1&amp;srchmode=1&amp;unlock","Peromyscus maniculatus bairdii")</f>
        <v>Peromyscus maniculatus bairdii</v>
      </c>
      <c r="G27" t="s">
        <v>88</v>
      </c>
      <c r="H27" t="str">
        <f>HYPERLINK("http://www.ncbi.nlm.nih.gov/protein/XP_006990181.1","DNA polymerase alpha catalytic subunit")</f>
        <v>DNA polymerase alpha catalytic subunit</v>
      </c>
      <c r="I27" t="s">
        <v>266</v>
      </c>
      <c r="J27" t="s">
        <v>69</v>
      </c>
      <c r="K27">
        <v>599</v>
      </c>
      <c r="L27" t="s">
        <v>151</v>
      </c>
      <c r="M27" t="s">
        <v>69</v>
      </c>
      <c r="N27" t="s">
        <v>152</v>
      </c>
      <c r="O27" t="s">
        <v>69</v>
      </c>
      <c r="P27">
        <v>165.19200000000001</v>
      </c>
      <c r="Q27" t="s">
        <v>69</v>
      </c>
      <c r="R27" t="s">
        <v>69</v>
      </c>
      <c r="S27">
        <v>616</v>
      </c>
      <c r="T27" t="s">
        <v>145</v>
      </c>
      <c r="U27" t="s">
        <v>153</v>
      </c>
      <c r="V27" t="s">
        <v>71</v>
      </c>
      <c r="W27" t="s">
        <v>69</v>
      </c>
      <c r="X27">
        <v>131.17500000000001</v>
      </c>
      <c r="Y27" t="s">
        <v>69</v>
      </c>
      <c r="Z27" t="s">
        <v>69</v>
      </c>
      <c r="AA27">
        <v>619</v>
      </c>
      <c r="AB27" t="s">
        <v>149</v>
      </c>
      <c r="AC27" t="s">
        <v>69</v>
      </c>
      <c r="AD27" t="s">
        <v>150</v>
      </c>
      <c r="AE27" t="s">
        <v>69</v>
      </c>
      <c r="AF27">
        <v>119.119</v>
      </c>
      <c r="AG27" t="s">
        <v>69</v>
      </c>
      <c r="AH27" t="s">
        <v>69</v>
      </c>
      <c r="AI27">
        <v>625</v>
      </c>
      <c r="AJ27" t="s">
        <v>70</v>
      </c>
      <c r="AK27" t="s">
        <v>69</v>
      </c>
      <c r="AL27" t="s">
        <v>71</v>
      </c>
      <c r="AM27" t="s">
        <v>69</v>
      </c>
      <c r="AN27">
        <v>75.066999999999993</v>
      </c>
      <c r="AO27" t="s">
        <v>69</v>
      </c>
      <c r="AP27" t="s">
        <v>69</v>
      </c>
      <c r="AQ27">
        <v>626</v>
      </c>
      <c r="AR27" t="s">
        <v>151</v>
      </c>
      <c r="AS27" t="s">
        <v>69</v>
      </c>
      <c r="AT27" t="s">
        <v>152</v>
      </c>
      <c r="AU27" t="s">
        <v>69</v>
      </c>
      <c r="AV27">
        <v>165.19200000000001</v>
      </c>
      <c r="AW27" t="s">
        <v>69</v>
      </c>
      <c r="AX27" t="s">
        <v>69</v>
      </c>
      <c r="AY27">
        <v>629</v>
      </c>
      <c r="AZ27" t="s">
        <v>73</v>
      </c>
      <c r="BA27" t="s">
        <v>69</v>
      </c>
      <c r="BB27" t="s">
        <v>71</v>
      </c>
      <c r="BC27" t="s">
        <v>69</v>
      </c>
      <c r="BD27">
        <v>89.093999999999994</v>
      </c>
      <c r="BE27" t="s">
        <v>69</v>
      </c>
      <c r="BF27" t="s">
        <v>69</v>
      </c>
      <c r="BG27">
        <v>630</v>
      </c>
      <c r="BH27" t="s">
        <v>76</v>
      </c>
      <c r="BI27" t="s">
        <v>69</v>
      </c>
      <c r="BJ27" t="s">
        <v>75</v>
      </c>
      <c r="BK27" t="s">
        <v>69</v>
      </c>
      <c r="BL27">
        <v>146.18899999999999</v>
      </c>
      <c r="BM27" t="s">
        <v>69</v>
      </c>
      <c r="BN27" t="s">
        <v>69</v>
      </c>
      <c r="BO27">
        <v>662</v>
      </c>
      <c r="BP27" t="s">
        <v>146</v>
      </c>
      <c r="BQ27" t="s">
        <v>69</v>
      </c>
      <c r="BR27" t="s">
        <v>71</v>
      </c>
      <c r="BS27" t="s">
        <v>69</v>
      </c>
      <c r="BT27">
        <v>115.13200000000001</v>
      </c>
      <c r="BU27" t="s">
        <v>69</v>
      </c>
      <c r="BV27" t="s">
        <v>69</v>
      </c>
    </row>
    <row r="28" spans="1:74" x14ac:dyDescent="0.25">
      <c r="A28">
        <v>7</v>
      </c>
      <c r="B28" t="str">
        <f>HYPERLINK("http://www.ncbi.nlm.nih.gov/protein/NP_032918.1","NP_032918.1")</f>
        <v>NP_032918.1</v>
      </c>
      <c r="C28">
        <v>337449</v>
      </c>
      <c r="D28" t="str">
        <f>HYPERLINK("http://www.ncbi.nlm.nih.gov/Taxonomy/Browser/wwwtax.cgi?mode=Info&amp;id=10090&amp;lvl=3&amp;lin=f&amp;keep=1&amp;srchmode=1&amp;unlock","10090")</f>
        <v>10090</v>
      </c>
      <c r="E28" t="s">
        <v>66</v>
      </c>
      <c r="F28" t="str">
        <f>HYPERLINK("http://www.ncbi.nlm.nih.gov/Taxonomy/Browser/wwwtax.cgi?mode=Info&amp;id=10090&amp;lvl=3&amp;lin=f&amp;keep=1&amp;srchmode=1&amp;unlock","Mus musculus")</f>
        <v>Mus musculus</v>
      </c>
      <c r="G28" t="s">
        <v>104</v>
      </c>
      <c r="H28" t="str">
        <f>HYPERLINK("http://www.ncbi.nlm.nih.gov/protein/NP_032918.1","DNA polymerase alpha catalytic subunit")</f>
        <v>DNA polymerase alpha catalytic subunit</v>
      </c>
      <c r="I28" t="s">
        <v>266</v>
      </c>
      <c r="J28" t="s">
        <v>69</v>
      </c>
      <c r="K28">
        <v>598</v>
      </c>
      <c r="L28" t="s">
        <v>151</v>
      </c>
      <c r="M28" t="s">
        <v>69</v>
      </c>
      <c r="N28" t="s">
        <v>152</v>
      </c>
      <c r="O28" t="s">
        <v>69</v>
      </c>
      <c r="P28">
        <v>165.19200000000001</v>
      </c>
      <c r="Q28" t="s">
        <v>69</v>
      </c>
      <c r="R28" t="s">
        <v>69</v>
      </c>
      <c r="S28">
        <v>615</v>
      </c>
      <c r="T28" t="s">
        <v>145</v>
      </c>
      <c r="U28" t="s">
        <v>153</v>
      </c>
      <c r="V28" t="s">
        <v>71</v>
      </c>
      <c r="W28" t="s">
        <v>69</v>
      </c>
      <c r="X28">
        <v>131.17500000000001</v>
      </c>
      <c r="Y28" t="s">
        <v>69</v>
      </c>
      <c r="Z28" t="s">
        <v>69</v>
      </c>
      <c r="AA28">
        <v>618</v>
      </c>
      <c r="AB28" t="s">
        <v>149</v>
      </c>
      <c r="AC28" t="s">
        <v>69</v>
      </c>
      <c r="AD28" t="s">
        <v>150</v>
      </c>
      <c r="AE28" t="s">
        <v>69</v>
      </c>
      <c r="AF28">
        <v>119.119</v>
      </c>
      <c r="AG28" t="s">
        <v>69</v>
      </c>
      <c r="AH28" t="s">
        <v>69</v>
      </c>
      <c r="AI28">
        <v>624</v>
      </c>
      <c r="AJ28" t="s">
        <v>70</v>
      </c>
      <c r="AK28" t="s">
        <v>69</v>
      </c>
      <c r="AL28" t="s">
        <v>71</v>
      </c>
      <c r="AM28" t="s">
        <v>69</v>
      </c>
      <c r="AN28">
        <v>75.066999999999993</v>
      </c>
      <c r="AO28" t="s">
        <v>69</v>
      </c>
      <c r="AP28" t="s">
        <v>69</v>
      </c>
      <c r="AQ28">
        <v>625</v>
      </c>
      <c r="AR28" t="s">
        <v>151</v>
      </c>
      <c r="AS28" t="s">
        <v>69</v>
      </c>
      <c r="AT28" t="s">
        <v>152</v>
      </c>
      <c r="AU28" t="s">
        <v>69</v>
      </c>
      <c r="AV28">
        <v>165.19200000000001</v>
      </c>
      <c r="AW28" t="s">
        <v>69</v>
      </c>
      <c r="AX28" t="s">
        <v>69</v>
      </c>
      <c r="AY28">
        <v>628</v>
      </c>
      <c r="AZ28" t="s">
        <v>73</v>
      </c>
      <c r="BA28" t="s">
        <v>69</v>
      </c>
      <c r="BB28" t="s">
        <v>71</v>
      </c>
      <c r="BC28" t="s">
        <v>69</v>
      </c>
      <c r="BD28">
        <v>89.093999999999994</v>
      </c>
      <c r="BE28" t="s">
        <v>69</v>
      </c>
      <c r="BF28" t="s">
        <v>69</v>
      </c>
      <c r="BG28">
        <v>629</v>
      </c>
      <c r="BH28" t="s">
        <v>76</v>
      </c>
      <c r="BI28" t="s">
        <v>69</v>
      </c>
      <c r="BJ28" t="s">
        <v>75</v>
      </c>
      <c r="BK28" t="s">
        <v>69</v>
      </c>
      <c r="BL28">
        <v>146.18899999999999</v>
      </c>
      <c r="BM28" t="s">
        <v>69</v>
      </c>
      <c r="BN28" t="s">
        <v>69</v>
      </c>
      <c r="BO28">
        <v>661</v>
      </c>
      <c r="BP28" t="s">
        <v>146</v>
      </c>
      <c r="BQ28" t="s">
        <v>69</v>
      </c>
      <c r="BR28" t="s">
        <v>71</v>
      </c>
      <c r="BS28" t="s">
        <v>69</v>
      </c>
      <c r="BT28">
        <v>115.13200000000001</v>
      </c>
      <c r="BU28" t="s">
        <v>69</v>
      </c>
      <c r="BV28" t="s">
        <v>69</v>
      </c>
    </row>
    <row r="29" spans="1:74" x14ac:dyDescent="0.25">
      <c r="A29">
        <v>7</v>
      </c>
      <c r="B29" t="str">
        <f>HYPERLINK("http://www.ncbi.nlm.nih.gov/protein/CAD7681867.1","CAD7681867.1")</f>
        <v>CAD7681867.1</v>
      </c>
      <c r="C29">
        <v>27271</v>
      </c>
      <c r="D29" t="str">
        <f>HYPERLINK("http://www.ncbi.nlm.nih.gov/Taxonomy/Browser/wwwtax.cgi?mode=Info&amp;id=34880&amp;lvl=3&amp;lin=f&amp;keep=1&amp;srchmode=1&amp;unlock","34880")</f>
        <v>34880</v>
      </c>
      <c r="E29" t="s">
        <v>66</v>
      </c>
      <c r="F29" t="str">
        <f>HYPERLINK("http://www.ncbi.nlm.nih.gov/Taxonomy/Browser/wwwtax.cgi?mode=Info&amp;id=34880&amp;lvl=3&amp;lin=f&amp;keep=1&amp;srchmode=1&amp;unlock","Nyctereutes procyonoides")</f>
        <v>Nyctereutes procyonoides</v>
      </c>
      <c r="G29" t="s">
        <v>92</v>
      </c>
      <c r="H29" t="str">
        <f>HYPERLINK("http://www.ncbi.nlm.nih.gov/protein/CAD7681867.1","unnamed protein product")</f>
        <v>unnamed protein product</v>
      </c>
      <c r="I29" t="s">
        <v>266</v>
      </c>
      <c r="J29" t="s">
        <v>69</v>
      </c>
      <c r="K29">
        <v>600</v>
      </c>
      <c r="L29" t="s">
        <v>151</v>
      </c>
      <c r="M29" t="s">
        <v>69</v>
      </c>
      <c r="N29" t="s">
        <v>152</v>
      </c>
      <c r="O29" t="s">
        <v>69</v>
      </c>
      <c r="P29">
        <v>165.19200000000001</v>
      </c>
      <c r="Q29" t="s">
        <v>69</v>
      </c>
      <c r="R29" t="s">
        <v>69</v>
      </c>
      <c r="S29">
        <v>617</v>
      </c>
      <c r="T29" t="s">
        <v>145</v>
      </c>
      <c r="U29" t="s">
        <v>153</v>
      </c>
      <c r="V29" t="s">
        <v>71</v>
      </c>
      <c r="W29" t="s">
        <v>69</v>
      </c>
      <c r="X29">
        <v>131.17500000000001</v>
      </c>
      <c r="Y29" t="s">
        <v>69</v>
      </c>
      <c r="Z29" t="s">
        <v>69</v>
      </c>
      <c r="AA29">
        <v>620</v>
      </c>
      <c r="AB29" t="s">
        <v>149</v>
      </c>
      <c r="AC29" t="s">
        <v>69</v>
      </c>
      <c r="AD29" t="s">
        <v>150</v>
      </c>
      <c r="AE29" t="s">
        <v>69</v>
      </c>
      <c r="AF29">
        <v>119.119</v>
      </c>
      <c r="AG29" t="s">
        <v>69</v>
      </c>
      <c r="AH29" t="s">
        <v>69</v>
      </c>
      <c r="AI29">
        <v>626</v>
      </c>
      <c r="AJ29" t="s">
        <v>70</v>
      </c>
      <c r="AK29" t="s">
        <v>69</v>
      </c>
      <c r="AL29" t="s">
        <v>71</v>
      </c>
      <c r="AM29" t="s">
        <v>69</v>
      </c>
      <c r="AN29">
        <v>75.066999999999993</v>
      </c>
      <c r="AO29" t="s">
        <v>69</v>
      </c>
      <c r="AP29" t="s">
        <v>69</v>
      </c>
      <c r="AQ29">
        <v>627</v>
      </c>
      <c r="AR29" t="s">
        <v>151</v>
      </c>
      <c r="AS29" t="s">
        <v>69</v>
      </c>
      <c r="AT29" t="s">
        <v>152</v>
      </c>
      <c r="AU29" t="s">
        <v>69</v>
      </c>
      <c r="AV29">
        <v>165.19200000000001</v>
      </c>
      <c r="AW29" t="s">
        <v>69</v>
      </c>
      <c r="AX29" t="s">
        <v>69</v>
      </c>
      <c r="AY29">
        <v>630</v>
      </c>
      <c r="AZ29" t="s">
        <v>73</v>
      </c>
      <c r="BA29" t="s">
        <v>69</v>
      </c>
      <c r="BB29" t="s">
        <v>71</v>
      </c>
      <c r="BC29" t="s">
        <v>69</v>
      </c>
      <c r="BD29">
        <v>89.093999999999994</v>
      </c>
      <c r="BE29" t="s">
        <v>69</v>
      </c>
      <c r="BF29" t="s">
        <v>69</v>
      </c>
      <c r="BG29">
        <v>631</v>
      </c>
      <c r="BH29" t="s">
        <v>76</v>
      </c>
      <c r="BI29" t="s">
        <v>69</v>
      </c>
      <c r="BJ29" t="s">
        <v>75</v>
      </c>
      <c r="BK29" t="s">
        <v>69</v>
      </c>
      <c r="BL29">
        <v>146.18899999999999</v>
      </c>
      <c r="BM29" t="s">
        <v>69</v>
      </c>
      <c r="BN29" t="s">
        <v>69</v>
      </c>
      <c r="BO29">
        <v>663</v>
      </c>
      <c r="BP29" t="s">
        <v>146</v>
      </c>
      <c r="BQ29" t="s">
        <v>69</v>
      </c>
      <c r="BR29" t="s">
        <v>71</v>
      </c>
      <c r="BS29" t="s">
        <v>69</v>
      </c>
      <c r="BT29">
        <v>115.13200000000001</v>
      </c>
      <c r="BU29" t="s">
        <v>69</v>
      </c>
      <c r="BV29" t="s">
        <v>69</v>
      </c>
    </row>
    <row r="30" spans="1:74" x14ac:dyDescent="0.25">
      <c r="A30">
        <v>7</v>
      </c>
      <c r="B30" t="str">
        <f>HYPERLINK("http://www.ncbi.nlm.nih.gov/protein/XP_005503767.1","XP_005503767.1")</f>
        <v>XP_005503767.1</v>
      </c>
      <c r="C30">
        <v>50957</v>
      </c>
      <c r="D30" t="str">
        <f>HYPERLINK("http://www.ncbi.nlm.nih.gov/Taxonomy/Browser/wwwtax.cgi?mode=Info&amp;id=8932&amp;lvl=3&amp;lin=f&amp;keep=1&amp;srchmode=1&amp;unlock","8932")</f>
        <v>8932</v>
      </c>
      <c r="E30" t="s">
        <v>107</v>
      </c>
      <c r="F30" t="str">
        <f>HYPERLINK("http://www.ncbi.nlm.nih.gov/Taxonomy/Browser/wwwtax.cgi?mode=Info&amp;id=8932&amp;lvl=3&amp;lin=f&amp;keep=1&amp;srchmode=1&amp;unlock","Columba livia")</f>
        <v>Columba livia</v>
      </c>
      <c r="G30" t="s">
        <v>108</v>
      </c>
      <c r="H30" t="str">
        <f>HYPERLINK("http://www.ncbi.nlm.nih.gov/protein/XP_005503767.1","DNA polymerase alpha catalytic subunit isoform X1")</f>
        <v>DNA polymerase alpha catalytic subunit isoform X1</v>
      </c>
      <c r="I30" t="s">
        <v>266</v>
      </c>
      <c r="J30" t="s">
        <v>69</v>
      </c>
      <c r="K30">
        <v>613</v>
      </c>
      <c r="L30" t="s">
        <v>151</v>
      </c>
      <c r="M30" t="s">
        <v>69</v>
      </c>
      <c r="N30" t="s">
        <v>152</v>
      </c>
      <c r="O30" t="s">
        <v>69</v>
      </c>
      <c r="P30">
        <v>165.19200000000001</v>
      </c>
      <c r="Q30" t="s">
        <v>69</v>
      </c>
      <c r="R30" t="s">
        <v>69</v>
      </c>
      <c r="S30">
        <v>630</v>
      </c>
      <c r="T30" t="s">
        <v>145</v>
      </c>
      <c r="U30" t="s">
        <v>153</v>
      </c>
      <c r="V30" t="s">
        <v>71</v>
      </c>
      <c r="W30" t="s">
        <v>69</v>
      </c>
      <c r="X30">
        <v>131.17500000000001</v>
      </c>
      <c r="Y30" t="s">
        <v>69</v>
      </c>
      <c r="Z30" t="s">
        <v>69</v>
      </c>
      <c r="AA30">
        <v>633</v>
      </c>
      <c r="AB30" t="s">
        <v>149</v>
      </c>
      <c r="AC30" t="s">
        <v>69</v>
      </c>
      <c r="AD30" t="s">
        <v>150</v>
      </c>
      <c r="AE30" t="s">
        <v>69</v>
      </c>
      <c r="AF30">
        <v>119.119</v>
      </c>
      <c r="AG30" t="s">
        <v>69</v>
      </c>
      <c r="AH30" t="s">
        <v>69</v>
      </c>
      <c r="AI30">
        <v>639</v>
      </c>
      <c r="AJ30" t="s">
        <v>70</v>
      </c>
      <c r="AK30" t="s">
        <v>69</v>
      </c>
      <c r="AL30" t="s">
        <v>71</v>
      </c>
      <c r="AM30" t="s">
        <v>69</v>
      </c>
      <c r="AN30">
        <v>75.066999999999993</v>
      </c>
      <c r="AO30" t="s">
        <v>69</v>
      </c>
      <c r="AP30" t="s">
        <v>69</v>
      </c>
      <c r="AQ30">
        <v>640</v>
      </c>
      <c r="AR30" t="s">
        <v>151</v>
      </c>
      <c r="AS30" t="s">
        <v>69</v>
      </c>
      <c r="AT30" t="s">
        <v>152</v>
      </c>
      <c r="AU30" t="s">
        <v>69</v>
      </c>
      <c r="AV30">
        <v>165.19200000000001</v>
      </c>
      <c r="AW30" t="s">
        <v>69</v>
      </c>
      <c r="AX30" t="s">
        <v>69</v>
      </c>
      <c r="AY30">
        <v>643</v>
      </c>
      <c r="AZ30" t="s">
        <v>73</v>
      </c>
      <c r="BA30" t="s">
        <v>69</v>
      </c>
      <c r="BB30" t="s">
        <v>71</v>
      </c>
      <c r="BC30" t="s">
        <v>69</v>
      </c>
      <c r="BD30">
        <v>89.093999999999994</v>
      </c>
      <c r="BE30" t="s">
        <v>69</v>
      </c>
      <c r="BF30" t="s">
        <v>69</v>
      </c>
      <c r="BG30">
        <v>644</v>
      </c>
      <c r="BH30" t="s">
        <v>76</v>
      </c>
      <c r="BI30" t="s">
        <v>69</v>
      </c>
      <c r="BJ30" t="s">
        <v>75</v>
      </c>
      <c r="BK30" t="s">
        <v>69</v>
      </c>
      <c r="BL30">
        <v>146.18899999999999</v>
      </c>
      <c r="BM30" t="s">
        <v>69</v>
      </c>
      <c r="BN30" t="s">
        <v>69</v>
      </c>
      <c r="BO30">
        <v>676</v>
      </c>
      <c r="BP30" t="s">
        <v>146</v>
      </c>
      <c r="BQ30" t="s">
        <v>69</v>
      </c>
      <c r="BR30" t="s">
        <v>71</v>
      </c>
      <c r="BS30" t="s">
        <v>69</v>
      </c>
      <c r="BT30">
        <v>115.13200000000001</v>
      </c>
      <c r="BU30" t="s">
        <v>69</v>
      </c>
      <c r="BV30" t="s">
        <v>69</v>
      </c>
    </row>
    <row r="31" spans="1:74" x14ac:dyDescent="0.25">
      <c r="A31">
        <v>7</v>
      </c>
      <c r="B31" t="str">
        <f>HYPERLINK("http://www.ncbi.nlm.nih.gov/protein/XP_006019630.1","XP_006019630.1")</f>
        <v>XP_006019630.1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HYPERLINK("http://www.ncbi.nlm.nih.gov/protein/XP_006019630.1","DNA polymerase alpha catalytic subunit")</f>
        <v>DNA polymerase alpha catalytic subunit</v>
      </c>
      <c r="I31" t="s">
        <v>266</v>
      </c>
      <c r="J31" t="s">
        <v>69</v>
      </c>
      <c r="K31">
        <v>610</v>
      </c>
      <c r="L31" t="s">
        <v>151</v>
      </c>
      <c r="M31" t="s">
        <v>69</v>
      </c>
      <c r="N31" t="s">
        <v>152</v>
      </c>
      <c r="O31" t="s">
        <v>69</v>
      </c>
      <c r="P31">
        <v>165.19200000000001</v>
      </c>
      <c r="Q31" t="s">
        <v>69</v>
      </c>
      <c r="R31" t="s">
        <v>69</v>
      </c>
      <c r="S31">
        <v>627</v>
      </c>
      <c r="T31" t="s">
        <v>145</v>
      </c>
      <c r="U31" t="s">
        <v>153</v>
      </c>
      <c r="V31" t="s">
        <v>71</v>
      </c>
      <c r="W31" t="s">
        <v>69</v>
      </c>
      <c r="X31">
        <v>131.17500000000001</v>
      </c>
      <c r="Y31" t="s">
        <v>69</v>
      </c>
      <c r="Z31" t="s">
        <v>69</v>
      </c>
      <c r="AA31">
        <v>630</v>
      </c>
      <c r="AB31" t="s">
        <v>149</v>
      </c>
      <c r="AC31" t="s">
        <v>69</v>
      </c>
      <c r="AD31" t="s">
        <v>150</v>
      </c>
      <c r="AE31" t="s">
        <v>69</v>
      </c>
      <c r="AF31">
        <v>119.119</v>
      </c>
      <c r="AG31" t="s">
        <v>69</v>
      </c>
      <c r="AH31" t="s">
        <v>69</v>
      </c>
      <c r="AI31">
        <v>636</v>
      </c>
      <c r="AJ31" t="s">
        <v>70</v>
      </c>
      <c r="AK31" t="s">
        <v>69</v>
      </c>
      <c r="AL31" t="s">
        <v>71</v>
      </c>
      <c r="AM31" t="s">
        <v>69</v>
      </c>
      <c r="AN31">
        <v>75.066999999999993</v>
      </c>
      <c r="AO31" t="s">
        <v>69</v>
      </c>
      <c r="AP31" t="s">
        <v>69</v>
      </c>
      <c r="AQ31">
        <v>637</v>
      </c>
      <c r="AR31" t="s">
        <v>151</v>
      </c>
      <c r="AS31" t="s">
        <v>69</v>
      </c>
      <c r="AT31" t="s">
        <v>152</v>
      </c>
      <c r="AU31" t="s">
        <v>69</v>
      </c>
      <c r="AV31">
        <v>165.19200000000001</v>
      </c>
      <c r="AW31" t="s">
        <v>69</v>
      </c>
      <c r="AX31" t="s">
        <v>69</v>
      </c>
      <c r="AY31">
        <v>640</v>
      </c>
      <c r="AZ31" t="s">
        <v>73</v>
      </c>
      <c r="BA31" t="s">
        <v>69</v>
      </c>
      <c r="BB31" t="s">
        <v>71</v>
      </c>
      <c r="BC31" t="s">
        <v>69</v>
      </c>
      <c r="BD31">
        <v>89.093999999999994</v>
      </c>
      <c r="BE31" t="s">
        <v>69</v>
      </c>
      <c r="BF31" t="s">
        <v>69</v>
      </c>
      <c r="BG31">
        <v>641</v>
      </c>
      <c r="BH31" t="s">
        <v>76</v>
      </c>
      <c r="BI31" t="s">
        <v>69</v>
      </c>
      <c r="BJ31" t="s">
        <v>75</v>
      </c>
      <c r="BK31" t="s">
        <v>69</v>
      </c>
      <c r="BL31">
        <v>146.18899999999999</v>
      </c>
      <c r="BM31" t="s">
        <v>69</v>
      </c>
      <c r="BN31" t="s">
        <v>69</v>
      </c>
      <c r="BO31">
        <v>673</v>
      </c>
      <c r="BP31" t="s">
        <v>146</v>
      </c>
      <c r="BQ31" t="s">
        <v>69</v>
      </c>
      <c r="BR31" t="s">
        <v>71</v>
      </c>
      <c r="BS31" t="s">
        <v>69</v>
      </c>
      <c r="BT31">
        <v>115.13200000000001</v>
      </c>
      <c r="BU31" t="s">
        <v>69</v>
      </c>
      <c r="BV31" t="s">
        <v>69</v>
      </c>
    </row>
    <row r="32" spans="1:74" x14ac:dyDescent="0.25">
      <c r="A32">
        <v>7</v>
      </c>
      <c r="B32" t="str">
        <f>HYPERLINK("http://www.ncbi.nlm.nih.gov/protein/NP_001082055.1","NP_001082055.1")</f>
        <v>NP_001082055.1</v>
      </c>
      <c r="C32">
        <v>146185</v>
      </c>
      <c r="D32" t="str">
        <f>HYPERLINK("http://www.ncbi.nlm.nih.gov/Taxonomy/Browser/wwwtax.cgi?mode=Info&amp;id=8355&amp;lvl=3&amp;lin=f&amp;keep=1&amp;srchmode=1&amp;unlock","8355")</f>
        <v>8355</v>
      </c>
      <c r="E32" t="s">
        <v>111</v>
      </c>
      <c r="F32" t="str">
        <f>HYPERLINK("http://www.ncbi.nlm.nih.gov/Taxonomy/Browser/wwwtax.cgi?mode=Info&amp;id=8355&amp;lvl=3&amp;lin=f&amp;keep=1&amp;srchmode=1&amp;unlock","Xenopus laevis")</f>
        <v>Xenopus laevis</v>
      </c>
      <c r="G32" t="s">
        <v>112</v>
      </c>
      <c r="H32" t="str">
        <f>HYPERLINK("http://www.ncbi.nlm.nih.gov/protein/NP_001082055.1","DNA polymerase alpha catalytic subunit")</f>
        <v>DNA polymerase alpha catalytic subunit</v>
      </c>
      <c r="I32" t="s">
        <v>266</v>
      </c>
      <c r="J32" t="s">
        <v>69</v>
      </c>
      <c r="K32">
        <v>594</v>
      </c>
      <c r="L32" t="s">
        <v>151</v>
      </c>
      <c r="M32" t="s">
        <v>69</v>
      </c>
      <c r="N32" t="s">
        <v>152</v>
      </c>
      <c r="O32" t="s">
        <v>69</v>
      </c>
      <c r="P32">
        <v>165.19200000000001</v>
      </c>
      <c r="Q32" t="s">
        <v>69</v>
      </c>
      <c r="R32" t="s">
        <v>69</v>
      </c>
      <c r="S32">
        <v>611</v>
      </c>
      <c r="T32" t="s">
        <v>145</v>
      </c>
      <c r="U32" t="s">
        <v>153</v>
      </c>
      <c r="V32" t="s">
        <v>71</v>
      </c>
      <c r="W32" t="s">
        <v>69</v>
      </c>
      <c r="X32">
        <v>131.17500000000001</v>
      </c>
      <c r="Y32" t="s">
        <v>69</v>
      </c>
      <c r="Z32" t="s">
        <v>69</v>
      </c>
      <c r="AA32">
        <v>614</v>
      </c>
      <c r="AB32" t="s">
        <v>149</v>
      </c>
      <c r="AC32" t="s">
        <v>69</v>
      </c>
      <c r="AD32" t="s">
        <v>150</v>
      </c>
      <c r="AE32" t="s">
        <v>69</v>
      </c>
      <c r="AF32">
        <v>119.119</v>
      </c>
      <c r="AG32" t="s">
        <v>69</v>
      </c>
      <c r="AH32" t="s">
        <v>69</v>
      </c>
      <c r="AI32">
        <v>620</v>
      </c>
      <c r="AJ32" t="s">
        <v>70</v>
      </c>
      <c r="AK32" t="s">
        <v>69</v>
      </c>
      <c r="AL32" t="s">
        <v>71</v>
      </c>
      <c r="AM32" t="s">
        <v>69</v>
      </c>
      <c r="AN32">
        <v>75.066999999999993</v>
      </c>
      <c r="AO32" t="s">
        <v>69</v>
      </c>
      <c r="AP32" t="s">
        <v>69</v>
      </c>
      <c r="AQ32">
        <v>621</v>
      </c>
      <c r="AR32" t="s">
        <v>151</v>
      </c>
      <c r="AS32" t="s">
        <v>69</v>
      </c>
      <c r="AT32" t="s">
        <v>152</v>
      </c>
      <c r="AU32" t="s">
        <v>69</v>
      </c>
      <c r="AV32">
        <v>165.19200000000001</v>
      </c>
      <c r="AW32" t="s">
        <v>69</v>
      </c>
      <c r="AX32" t="s">
        <v>69</v>
      </c>
      <c r="AY32">
        <v>624</v>
      </c>
      <c r="AZ32" t="s">
        <v>73</v>
      </c>
      <c r="BA32" t="s">
        <v>69</v>
      </c>
      <c r="BB32" t="s">
        <v>71</v>
      </c>
      <c r="BC32" t="s">
        <v>69</v>
      </c>
      <c r="BD32">
        <v>89.093999999999994</v>
      </c>
      <c r="BE32" t="s">
        <v>69</v>
      </c>
      <c r="BF32" t="s">
        <v>69</v>
      </c>
      <c r="BG32">
        <v>625</v>
      </c>
      <c r="BH32" t="s">
        <v>76</v>
      </c>
      <c r="BI32" t="s">
        <v>69</v>
      </c>
      <c r="BJ32" t="s">
        <v>75</v>
      </c>
      <c r="BK32" t="s">
        <v>69</v>
      </c>
      <c r="BL32">
        <v>146.18899999999999</v>
      </c>
      <c r="BM32" t="s">
        <v>69</v>
      </c>
      <c r="BN32" t="s">
        <v>69</v>
      </c>
      <c r="BO32">
        <v>657</v>
      </c>
      <c r="BP32" t="s">
        <v>146</v>
      </c>
      <c r="BQ32" t="s">
        <v>69</v>
      </c>
      <c r="BR32" t="s">
        <v>71</v>
      </c>
      <c r="BS32" t="s">
        <v>69</v>
      </c>
      <c r="BT32">
        <v>115.13200000000001</v>
      </c>
      <c r="BU32" t="s">
        <v>69</v>
      </c>
      <c r="BV32" t="s">
        <v>69</v>
      </c>
    </row>
    <row r="33" spans="1:74" x14ac:dyDescent="0.25">
      <c r="A33">
        <v>7</v>
      </c>
      <c r="B33" t="str">
        <f>HYPERLINK("http://www.ncbi.nlm.nih.gov/protein/XP_039540873.1","XP_039540873.1")</f>
        <v>XP_039540873.1</v>
      </c>
      <c r="C33">
        <v>96114</v>
      </c>
      <c r="D33" t="str">
        <f>HYPERLINK("http://www.ncbi.nlm.nih.gov/Taxonomy/Browser/wwwtax.cgi?mode=Info&amp;id=90988&amp;lvl=3&amp;lin=f&amp;keep=1&amp;srchmode=1&amp;unlock","90988")</f>
        <v>90988</v>
      </c>
      <c r="E33" t="s">
        <v>113</v>
      </c>
      <c r="F33" t="str">
        <f>HYPERLINK("http://www.ncbi.nlm.nih.gov/Taxonomy/Browser/wwwtax.cgi?mode=Info&amp;id=90988&amp;lvl=3&amp;lin=f&amp;keep=1&amp;srchmode=1&amp;unlock","Pimephales promelas")</f>
        <v>Pimephales promelas</v>
      </c>
      <c r="G33" t="s">
        <v>114</v>
      </c>
      <c r="H33" t="str">
        <f>HYPERLINK("http://www.ncbi.nlm.nih.gov/protein/XP_039540873.1","DNA polymerase alpha catalytic subunit isoform X1")</f>
        <v>DNA polymerase alpha catalytic subunit isoform X1</v>
      </c>
      <c r="I33" t="s">
        <v>266</v>
      </c>
      <c r="J33" t="s">
        <v>69</v>
      </c>
      <c r="K33">
        <v>606</v>
      </c>
      <c r="L33" t="s">
        <v>151</v>
      </c>
      <c r="M33" t="s">
        <v>69</v>
      </c>
      <c r="N33" t="s">
        <v>152</v>
      </c>
      <c r="O33" t="s">
        <v>69</v>
      </c>
      <c r="P33">
        <v>165.19200000000001</v>
      </c>
      <c r="Q33" t="s">
        <v>69</v>
      </c>
      <c r="R33" t="s">
        <v>69</v>
      </c>
      <c r="S33">
        <v>623</v>
      </c>
      <c r="T33" t="s">
        <v>145</v>
      </c>
      <c r="U33" t="s">
        <v>153</v>
      </c>
      <c r="V33" t="s">
        <v>71</v>
      </c>
      <c r="W33" t="s">
        <v>69</v>
      </c>
      <c r="X33">
        <v>131.17500000000001</v>
      </c>
      <c r="Y33" t="s">
        <v>69</v>
      </c>
      <c r="Z33" t="s">
        <v>69</v>
      </c>
      <c r="AA33">
        <v>626</v>
      </c>
      <c r="AB33" t="s">
        <v>149</v>
      </c>
      <c r="AC33" t="s">
        <v>69</v>
      </c>
      <c r="AD33" t="s">
        <v>150</v>
      </c>
      <c r="AE33" t="s">
        <v>69</v>
      </c>
      <c r="AF33">
        <v>119.119</v>
      </c>
      <c r="AG33" t="s">
        <v>69</v>
      </c>
      <c r="AH33" t="s">
        <v>69</v>
      </c>
      <c r="AI33">
        <v>632</v>
      </c>
      <c r="AJ33" t="s">
        <v>70</v>
      </c>
      <c r="AK33" t="s">
        <v>69</v>
      </c>
      <c r="AL33" t="s">
        <v>71</v>
      </c>
      <c r="AM33" t="s">
        <v>69</v>
      </c>
      <c r="AN33">
        <v>75.066999999999993</v>
      </c>
      <c r="AO33" t="s">
        <v>69</v>
      </c>
      <c r="AP33" t="s">
        <v>69</v>
      </c>
      <c r="AQ33">
        <v>633</v>
      </c>
      <c r="AR33" t="s">
        <v>151</v>
      </c>
      <c r="AS33" t="s">
        <v>69</v>
      </c>
      <c r="AT33" t="s">
        <v>152</v>
      </c>
      <c r="AU33" t="s">
        <v>69</v>
      </c>
      <c r="AV33">
        <v>165.19200000000001</v>
      </c>
      <c r="AW33" t="s">
        <v>69</v>
      </c>
      <c r="AX33" t="s">
        <v>69</v>
      </c>
      <c r="AY33">
        <v>636</v>
      </c>
      <c r="AZ33" t="s">
        <v>73</v>
      </c>
      <c r="BA33" t="s">
        <v>69</v>
      </c>
      <c r="BB33" t="s">
        <v>71</v>
      </c>
      <c r="BC33" t="s">
        <v>69</v>
      </c>
      <c r="BD33">
        <v>89.093999999999994</v>
      </c>
      <c r="BE33" t="s">
        <v>69</v>
      </c>
      <c r="BF33" t="s">
        <v>69</v>
      </c>
      <c r="BG33">
        <v>637</v>
      </c>
      <c r="BH33" t="s">
        <v>76</v>
      </c>
      <c r="BI33" t="s">
        <v>69</v>
      </c>
      <c r="BJ33" t="s">
        <v>75</v>
      </c>
      <c r="BK33" t="s">
        <v>69</v>
      </c>
      <c r="BL33">
        <v>146.18899999999999</v>
      </c>
      <c r="BM33" t="s">
        <v>69</v>
      </c>
      <c r="BN33" t="s">
        <v>69</v>
      </c>
      <c r="BO33">
        <v>669</v>
      </c>
      <c r="BP33" t="s">
        <v>146</v>
      </c>
      <c r="BQ33" t="s">
        <v>69</v>
      </c>
      <c r="BR33" t="s">
        <v>71</v>
      </c>
      <c r="BS33" t="s">
        <v>69</v>
      </c>
      <c r="BT33">
        <v>115.13200000000001</v>
      </c>
      <c r="BU33" t="s">
        <v>69</v>
      </c>
      <c r="BV33" t="s">
        <v>69</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34"/>
  <sheetViews>
    <sheetView workbookViewId="0"/>
  </sheetViews>
  <sheetFormatPr defaultRowHeight="15" x14ac:dyDescent="0.25"/>
  <cols>
    <col min="8" max="8" width="45.28515625" customWidth="1"/>
  </cols>
  <sheetData>
    <row r="1" spans="1:82"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row>
    <row r="2" spans="1:82" x14ac:dyDescent="0.25">
      <c r="A2">
        <v>7</v>
      </c>
      <c r="B2" t="str">
        <f>HYPERLINK("http://www.ncbi.nlm.nih.gov/protein/NP_003601.1","NP_003601.1")</f>
        <v>NP_003601.1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HYPERLINK("http://www.ncbi.nlm.nih.gov/protein/NP_003601.1","mRNA export factor RAE1")</f>
        <v>mRNA export factor RAE1</v>
      </c>
      <c r="I2" t="s">
        <v>267</v>
      </c>
      <c r="J2" t="s">
        <v>69</v>
      </c>
      <c r="K2">
        <v>239</v>
      </c>
      <c r="L2" t="s">
        <v>74</v>
      </c>
      <c r="M2" t="s">
        <v>69</v>
      </c>
      <c r="N2" t="s">
        <v>75</v>
      </c>
      <c r="O2" t="s">
        <v>69</v>
      </c>
      <c r="P2">
        <v>174.203</v>
      </c>
      <c r="Q2" t="s">
        <v>69</v>
      </c>
      <c r="R2" t="s">
        <v>69</v>
      </c>
      <c r="S2">
        <v>256</v>
      </c>
      <c r="T2" t="s">
        <v>149</v>
      </c>
      <c r="U2" t="s">
        <v>69</v>
      </c>
      <c r="V2" t="s">
        <v>150</v>
      </c>
      <c r="W2" t="s">
        <v>69</v>
      </c>
      <c r="X2">
        <v>119.119</v>
      </c>
      <c r="Y2" t="s">
        <v>69</v>
      </c>
      <c r="Z2" t="s">
        <v>69</v>
      </c>
      <c r="AA2">
        <v>257</v>
      </c>
      <c r="AB2" t="s">
        <v>151</v>
      </c>
      <c r="AC2" t="s">
        <v>69</v>
      </c>
      <c r="AD2" t="s">
        <v>152</v>
      </c>
      <c r="AE2" t="s">
        <v>69</v>
      </c>
      <c r="AF2">
        <v>165.19200000000001</v>
      </c>
      <c r="AG2" t="s">
        <v>69</v>
      </c>
      <c r="AH2" t="s">
        <v>69</v>
      </c>
      <c r="AI2">
        <v>258</v>
      </c>
      <c r="AJ2" t="s">
        <v>76</v>
      </c>
      <c r="AK2" t="s">
        <v>69</v>
      </c>
      <c r="AL2" t="s">
        <v>75</v>
      </c>
      <c r="AM2" t="s">
        <v>69</v>
      </c>
      <c r="AN2">
        <v>146.18899999999999</v>
      </c>
      <c r="AO2" t="s">
        <v>69</v>
      </c>
      <c r="AP2" t="s">
        <v>69</v>
      </c>
      <c r="AQ2">
        <v>305</v>
      </c>
      <c r="AR2" t="s">
        <v>74</v>
      </c>
      <c r="AS2" t="s">
        <v>69</v>
      </c>
      <c r="AT2" t="s">
        <v>75</v>
      </c>
      <c r="AU2" t="s">
        <v>69</v>
      </c>
      <c r="AV2">
        <v>174.203</v>
      </c>
      <c r="AW2" t="s">
        <v>69</v>
      </c>
      <c r="AX2" t="s">
        <v>69</v>
      </c>
      <c r="AY2">
        <v>306</v>
      </c>
      <c r="AZ2" t="s">
        <v>149</v>
      </c>
      <c r="BA2" t="s">
        <v>69</v>
      </c>
      <c r="BB2" t="s">
        <v>150</v>
      </c>
      <c r="BC2" t="s">
        <v>69</v>
      </c>
      <c r="BD2">
        <v>119.119</v>
      </c>
      <c r="BE2" t="s">
        <v>69</v>
      </c>
      <c r="BF2" t="s">
        <v>69</v>
      </c>
      <c r="BG2">
        <v>307</v>
      </c>
      <c r="BH2" t="s">
        <v>76</v>
      </c>
      <c r="BI2" t="s">
        <v>69</v>
      </c>
      <c r="BJ2" t="s">
        <v>75</v>
      </c>
      <c r="BK2" t="s">
        <v>69</v>
      </c>
      <c r="BL2">
        <v>146.18899999999999</v>
      </c>
      <c r="BM2" t="s">
        <v>69</v>
      </c>
      <c r="BN2" t="s">
        <v>69</v>
      </c>
      <c r="BO2">
        <v>309</v>
      </c>
      <c r="BP2" t="s">
        <v>76</v>
      </c>
      <c r="BQ2" t="s">
        <v>69</v>
      </c>
      <c r="BR2" t="s">
        <v>75</v>
      </c>
      <c r="BS2" t="s">
        <v>69</v>
      </c>
      <c r="BT2">
        <v>146.18899999999999</v>
      </c>
      <c r="BU2" t="s">
        <v>69</v>
      </c>
      <c r="BV2" t="s">
        <v>69</v>
      </c>
      <c r="BW2">
        <v>310</v>
      </c>
      <c r="BX2" t="s">
        <v>149</v>
      </c>
      <c r="BY2" t="s">
        <v>69</v>
      </c>
      <c r="BZ2" t="s">
        <v>150</v>
      </c>
      <c r="CA2" t="s">
        <v>69</v>
      </c>
      <c r="CB2">
        <v>119.119</v>
      </c>
      <c r="CC2" t="s">
        <v>69</v>
      </c>
      <c r="CD2" t="s">
        <v>69</v>
      </c>
    </row>
    <row r="3" spans="1:82" x14ac:dyDescent="0.25">
      <c r="A3">
        <v>7</v>
      </c>
      <c r="B3" t="str">
        <f>HYPERLINK("http://www.ncbi.nlm.nih.gov/protein/XP_015004217.1","XP_015004217.1")</f>
        <v>XP_015004217.1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HYPERLINK("http://www.ncbi.nlm.nih.gov/protein/XP_015004217.1","mRNA export factor isoform X2")</f>
        <v>mRNA export factor isoform X2</v>
      </c>
      <c r="I3" t="s">
        <v>267</v>
      </c>
      <c r="J3" t="s">
        <v>69</v>
      </c>
      <c r="K3">
        <v>239</v>
      </c>
      <c r="L3" t="s">
        <v>74</v>
      </c>
      <c r="M3" t="s">
        <v>69</v>
      </c>
      <c r="N3" t="s">
        <v>75</v>
      </c>
      <c r="O3" t="s">
        <v>69</v>
      </c>
      <c r="P3">
        <v>174.203</v>
      </c>
      <c r="Q3" t="s">
        <v>69</v>
      </c>
      <c r="R3" t="s">
        <v>69</v>
      </c>
      <c r="S3">
        <v>256</v>
      </c>
      <c r="T3" t="s">
        <v>149</v>
      </c>
      <c r="U3" t="s">
        <v>69</v>
      </c>
      <c r="V3" t="s">
        <v>150</v>
      </c>
      <c r="W3" t="s">
        <v>69</v>
      </c>
      <c r="X3">
        <v>119.119</v>
      </c>
      <c r="Y3" t="s">
        <v>69</v>
      </c>
      <c r="Z3" t="s">
        <v>69</v>
      </c>
      <c r="AA3">
        <v>257</v>
      </c>
      <c r="AB3" t="s">
        <v>151</v>
      </c>
      <c r="AC3" t="s">
        <v>69</v>
      </c>
      <c r="AD3" t="s">
        <v>152</v>
      </c>
      <c r="AE3" t="s">
        <v>69</v>
      </c>
      <c r="AF3">
        <v>165.19200000000001</v>
      </c>
      <c r="AG3" t="s">
        <v>69</v>
      </c>
      <c r="AH3" t="s">
        <v>69</v>
      </c>
      <c r="AI3">
        <v>258</v>
      </c>
      <c r="AJ3" t="s">
        <v>76</v>
      </c>
      <c r="AK3" t="s">
        <v>69</v>
      </c>
      <c r="AL3" t="s">
        <v>75</v>
      </c>
      <c r="AM3" t="s">
        <v>69</v>
      </c>
      <c r="AN3">
        <v>146.18899999999999</v>
      </c>
      <c r="AO3" t="s">
        <v>69</v>
      </c>
      <c r="AP3" t="s">
        <v>69</v>
      </c>
      <c r="AQ3">
        <v>305</v>
      </c>
      <c r="AR3" t="s">
        <v>74</v>
      </c>
      <c r="AS3" t="s">
        <v>69</v>
      </c>
      <c r="AT3" t="s">
        <v>75</v>
      </c>
      <c r="AU3" t="s">
        <v>69</v>
      </c>
      <c r="AV3">
        <v>174.203</v>
      </c>
      <c r="AW3" t="s">
        <v>69</v>
      </c>
      <c r="AX3" t="s">
        <v>69</v>
      </c>
      <c r="AY3">
        <v>306</v>
      </c>
      <c r="AZ3" t="s">
        <v>149</v>
      </c>
      <c r="BA3" t="s">
        <v>69</v>
      </c>
      <c r="BB3" t="s">
        <v>150</v>
      </c>
      <c r="BC3" t="s">
        <v>69</v>
      </c>
      <c r="BD3">
        <v>119.119</v>
      </c>
      <c r="BE3" t="s">
        <v>69</v>
      </c>
      <c r="BF3" t="s">
        <v>69</v>
      </c>
      <c r="BG3">
        <v>307</v>
      </c>
      <c r="BH3" t="s">
        <v>76</v>
      </c>
      <c r="BI3" t="s">
        <v>69</v>
      </c>
      <c r="BJ3" t="s">
        <v>75</v>
      </c>
      <c r="BK3" t="s">
        <v>69</v>
      </c>
      <c r="BL3">
        <v>146.18899999999999</v>
      </c>
      <c r="BM3" t="s">
        <v>69</v>
      </c>
      <c r="BN3" t="s">
        <v>69</v>
      </c>
      <c r="BO3">
        <v>309</v>
      </c>
      <c r="BP3" t="s">
        <v>76</v>
      </c>
      <c r="BQ3" t="s">
        <v>69</v>
      </c>
      <c r="BR3" t="s">
        <v>75</v>
      </c>
      <c r="BS3" t="s">
        <v>69</v>
      </c>
      <c r="BT3">
        <v>146.18899999999999</v>
      </c>
      <c r="BU3" t="s">
        <v>69</v>
      </c>
      <c r="BV3" t="s">
        <v>69</v>
      </c>
      <c r="BW3">
        <v>310</v>
      </c>
      <c r="BX3" t="s">
        <v>149</v>
      </c>
      <c r="BY3" t="s">
        <v>69</v>
      </c>
      <c r="BZ3" t="s">
        <v>150</v>
      </c>
      <c r="CA3" t="s">
        <v>69</v>
      </c>
      <c r="CB3">
        <v>119.119</v>
      </c>
      <c r="CC3" t="s">
        <v>69</v>
      </c>
      <c r="CD3" t="s">
        <v>69</v>
      </c>
    </row>
    <row r="4" spans="1:82" x14ac:dyDescent="0.25">
      <c r="A4">
        <v>7</v>
      </c>
      <c r="B4" t="str">
        <f>HYPERLINK("http://www.ncbi.nlm.nih.gov/protein/XP_003904625.1","XP_003904625.1")</f>
        <v>XP_003904625.1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HYPERLINK("http://www.ncbi.nlm.nih.gov/protein/XP_003904625.1","mRNA export factor isoform X2")</f>
        <v>mRNA export factor isoform X2</v>
      </c>
      <c r="I4" t="s">
        <v>267</v>
      </c>
      <c r="J4" t="s">
        <v>69</v>
      </c>
      <c r="K4">
        <v>239</v>
      </c>
      <c r="L4" t="s">
        <v>74</v>
      </c>
      <c r="M4" t="s">
        <v>69</v>
      </c>
      <c r="N4" t="s">
        <v>75</v>
      </c>
      <c r="O4" t="s">
        <v>69</v>
      </c>
      <c r="P4">
        <v>174.203</v>
      </c>
      <c r="Q4" t="s">
        <v>69</v>
      </c>
      <c r="R4" t="s">
        <v>69</v>
      </c>
      <c r="S4">
        <v>256</v>
      </c>
      <c r="T4" t="s">
        <v>149</v>
      </c>
      <c r="U4" t="s">
        <v>69</v>
      </c>
      <c r="V4" t="s">
        <v>150</v>
      </c>
      <c r="W4" t="s">
        <v>69</v>
      </c>
      <c r="X4">
        <v>119.119</v>
      </c>
      <c r="Y4" t="s">
        <v>69</v>
      </c>
      <c r="Z4" t="s">
        <v>69</v>
      </c>
      <c r="AA4">
        <v>257</v>
      </c>
      <c r="AB4" t="s">
        <v>151</v>
      </c>
      <c r="AC4" t="s">
        <v>69</v>
      </c>
      <c r="AD4" t="s">
        <v>152</v>
      </c>
      <c r="AE4" t="s">
        <v>69</v>
      </c>
      <c r="AF4">
        <v>165.19200000000001</v>
      </c>
      <c r="AG4" t="s">
        <v>69</v>
      </c>
      <c r="AH4" t="s">
        <v>69</v>
      </c>
      <c r="AI4">
        <v>258</v>
      </c>
      <c r="AJ4" t="s">
        <v>76</v>
      </c>
      <c r="AK4" t="s">
        <v>69</v>
      </c>
      <c r="AL4" t="s">
        <v>75</v>
      </c>
      <c r="AM4" t="s">
        <v>69</v>
      </c>
      <c r="AN4">
        <v>146.18899999999999</v>
      </c>
      <c r="AO4" t="s">
        <v>69</v>
      </c>
      <c r="AP4" t="s">
        <v>69</v>
      </c>
      <c r="AQ4">
        <v>305</v>
      </c>
      <c r="AR4" t="s">
        <v>74</v>
      </c>
      <c r="AS4" t="s">
        <v>69</v>
      </c>
      <c r="AT4" t="s">
        <v>75</v>
      </c>
      <c r="AU4" t="s">
        <v>69</v>
      </c>
      <c r="AV4">
        <v>174.203</v>
      </c>
      <c r="AW4" t="s">
        <v>69</v>
      </c>
      <c r="AX4" t="s">
        <v>69</v>
      </c>
      <c r="AY4">
        <v>306</v>
      </c>
      <c r="AZ4" t="s">
        <v>149</v>
      </c>
      <c r="BA4" t="s">
        <v>69</v>
      </c>
      <c r="BB4" t="s">
        <v>150</v>
      </c>
      <c r="BC4" t="s">
        <v>69</v>
      </c>
      <c r="BD4">
        <v>119.119</v>
      </c>
      <c r="BE4" t="s">
        <v>69</v>
      </c>
      <c r="BF4" t="s">
        <v>69</v>
      </c>
      <c r="BG4">
        <v>307</v>
      </c>
      <c r="BH4" t="s">
        <v>76</v>
      </c>
      <c r="BI4" t="s">
        <v>69</v>
      </c>
      <c r="BJ4" t="s">
        <v>75</v>
      </c>
      <c r="BK4" t="s">
        <v>69</v>
      </c>
      <c r="BL4">
        <v>146.18899999999999</v>
      </c>
      <c r="BM4" t="s">
        <v>69</v>
      </c>
      <c r="BN4" t="s">
        <v>69</v>
      </c>
      <c r="BO4">
        <v>309</v>
      </c>
      <c r="BP4" t="s">
        <v>76</v>
      </c>
      <c r="BQ4" t="s">
        <v>69</v>
      </c>
      <c r="BR4" t="s">
        <v>75</v>
      </c>
      <c r="BS4" t="s">
        <v>69</v>
      </c>
      <c r="BT4">
        <v>146.18899999999999</v>
      </c>
      <c r="BU4" t="s">
        <v>69</v>
      </c>
      <c r="BV4" t="s">
        <v>69</v>
      </c>
      <c r="BW4">
        <v>310</v>
      </c>
      <c r="BX4" t="s">
        <v>149</v>
      </c>
      <c r="BY4" t="s">
        <v>69</v>
      </c>
      <c r="BZ4" t="s">
        <v>150</v>
      </c>
      <c r="CA4" t="s">
        <v>69</v>
      </c>
      <c r="CB4">
        <v>119.119</v>
      </c>
      <c r="CC4" t="s">
        <v>69</v>
      </c>
      <c r="CD4" t="s">
        <v>69</v>
      </c>
    </row>
    <row r="5" spans="1:82" x14ac:dyDescent="0.25">
      <c r="A5">
        <v>7</v>
      </c>
      <c r="B5" t="str">
        <f>HYPERLINK("http://www.ncbi.nlm.nih.gov/protein/XP_035154883.1","XP_035154883.1")</f>
        <v>XP_035154883.1</v>
      </c>
      <c r="C5">
        <v>87664</v>
      </c>
      <c r="D5" t="str">
        <f>HYPERLINK("http://www.ncbi.nlm.nih.gov/Taxonomy/Browser/wwwtax.cgi?mode=Info&amp;id=9483&amp;lvl=3&amp;lin=f&amp;keep=1&amp;srchmode=1&amp;unlock","9483")</f>
        <v>9483</v>
      </c>
      <c r="E5" t="s">
        <v>66</v>
      </c>
      <c r="F5" t="str">
        <f>HYPERLINK("http://www.ncbi.nlm.nih.gov/Taxonomy/Browser/wwwtax.cgi?mode=Info&amp;id=9483&amp;lvl=3&amp;lin=f&amp;keep=1&amp;srchmode=1&amp;unlock","Callithrix jacchus")</f>
        <v>Callithrix jacchus</v>
      </c>
      <c r="G5" t="s">
        <v>106</v>
      </c>
      <c r="H5" t="str">
        <f>HYPERLINK("http://www.ncbi.nlm.nih.gov/protein/XP_035154883.1","mRNA export factor isoform X1")</f>
        <v>mRNA export factor isoform X1</v>
      </c>
      <c r="I5" t="s">
        <v>267</v>
      </c>
      <c r="J5" t="s">
        <v>69</v>
      </c>
      <c r="K5">
        <v>247</v>
      </c>
      <c r="L5" t="s">
        <v>74</v>
      </c>
      <c r="M5" t="s">
        <v>69</v>
      </c>
      <c r="N5" t="s">
        <v>75</v>
      </c>
      <c r="O5" t="s">
        <v>69</v>
      </c>
      <c r="P5">
        <v>174.203</v>
      </c>
      <c r="Q5" t="s">
        <v>69</v>
      </c>
      <c r="R5" t="s">
        <v>69</v>
      </c>
      <c r="S5">
        <v>264</v>
      </c>
      <c r="T5" t="s">
        <v>149</v>
      </c>
      <c r="U5" t="s">
        <v>69</v>
      </c>
      <c r="V5" t="s">
        <v>150</v>
      </c>
      <c r="W5" t="s">
        <v>69</v>
      </c>
      <c r="X5">
        <v>119.119</v>
      </c>
      <c r="Y5" t="s">
        <v>69</v>
      </c>
      <c r="Z5" t="s">
        <v>69</v>
      </c>
      <c r="AA5">
        <v>265</v>
      </c>
      <c r="AB5" t="s">
        <v>151</v>
      </c>
      <c r="AC5" t="s">
        <v>69</v>
      </c>
      <c r="AD5" t="s">
        <v>152</v>
      </c>
      <c r="AE5" t="s">
        <v>69</v>
      </c>
      <c r="AF5">
        <v>165.19200000000001</v>
      </c>
      <c r="AG5" t="s">
        <v>69</v>
      </c>
      <c r="AH5" t="s">
        <v>69</v>
      </c>
      <c r="AI5">
        <v>266</v>
      </c>
      <c r="AJ5" t="s">
        <v>76</v>
      </c>
      <c r="AK5" t="s">
        <v>69</v>
      </c>
      <c r="AL5" t="s">
        <v>75</v>
      </c>
      <c r="AM5" t="s">
        <v>69</v>
      </c>
      <c r="AN5">
        <v>146.18899999999999</v>
      </c>
      <c r="AO5" t="s">
        <v>69</v>
      </c>
      <c r="AP5" t="s">
        <v>69</v>
      </c>
      <c r="AQ5">
        <v>313</v>
      </c>
      <c r="AR5" t="s">
        <v>74</v>
      </c>
      <c r="AS5" t="s">
        <v>69</v>
      </c>
      <c r="AT5" t="s">
        <v>75</v>
      </c>
      <c r="AU5" t="s">
        <v>69</v>
      </c>
      <c r="AV5">
        <v>174.203</v>
      </c>
      <c r="AW5" t="s">
        <v>69</v>
      </c>
      <c r="AX5" t="s">
        <v>69</v>
      </c>
      <c r="AY5">
        <v>314</v>
      </c>
      <c r="AZ5" t="s">
        <v>149</v>
      </c>
      <c r="BA5" t="s">
        <v>69</v>
      </c>
      <c r="BB5" t="s">
        <v>150</v>
      </c>
      <c r="BC5" t="s">
        <v>69</v>
      </c>
      <c r="BD5">
        <v>119.119</v>
      </c>
      <c r="BE5" t="s">
        <v>69</v>
      </c>
      <c r="BF5" t="s">
        <v>69</v>
      </c>
      <c r="BG5">
        <v>315</v>
      </c>
      <c r="BH5" t="s">
        <v>76</v>
      </c>
      <c r="BI5" t="s">
        <v>69</v>
      </c>
      <c r="BJ5" t="s">
        <v>75</v>
      </c>
      <c r="BK5" t="s">
        <v>69</v>
      </c>
      <c r="BL5">
        <v>146.18899999999999</v>
      </c>
      <c r="BM5" t="s">
        <v>69</v>
      </c>
      <c r="BN5" t="s">
        <v>69</v>
      </c>
      <c r="BO5">
        <v>317</v>
      </c>
      <c r="BP5" t="s">
        <v>76</v>
      </c>
      <c r="BQ5" t="s">
        <v>69</v>
      </c>
      <c r="BR5" t="s">
        <v>75</v>
      </c>
      <c r="BS5" t="s">
        <v>69</v>
      </c>
      <c r="BT5">
        <v>146.18899999999999</v>
      </c>
      <c r="BU5" t="s">
        <v>69</v>
      </c>
      <c r="BV5" t="s">
        <v>69</v>
      </c>
      <c r="BW5">
        <v>318</v>
      </c>
      <c r="BX5" t="s">
        <v>149</v>
      </c>
      <c r="BY5" t="s">
        <v>69</v>
      </c>
      <c r="BZ5" t="s">
        <v>150</v>
      </c>
      <c r="CA5" t="s">
        <v>69</v>
      </c>
      <c r="CB5">
        <v>119.119</v>
      </c>
      <c r="CC5" t="s">
        <v>69</v>
      </c>
      <c r="CD5" t="s">
        <v>69</v>
      </c>
    </row>
    <row r="6" spans="1:82" x14ac:dyDescent="0.25">
      <c r="A6">
        <v>7</v>
      </c>
      <c r="B6" t="str">
        <f>HYPERLINK("http://www.ncbi.nlm.nih.gov/protein/XP_047395047.1","XP_047395047.1")</f>
        <v>XP_047395047.1</v>
      </c>
      <c r="C6">
        <v>74939</v>
      </c>
      <c r="D6" t="str">
        <f>HYPERLINK("http://www.ncbi.nlm.nih.gov/Taxonomy/Browser/wwwtax.cgi?mode=Info&amp;id=30640&amp;lvl=3&amp;lin=f&amp;keep=1&amp;srchmode=1&amp;unlock","30640")</f>
        <v>30640</v>
      </c>
      <c r="E6" t="s">
        <v>66</v>
      </c>
      <c r="F6" t="str">
        <f>HYPERLINK("http://www.ncbi.nlm.nih.gov/Taxonomy/Browser/wwwtax.cgi?mode=Info&amp;id=30640&amp;lvl=3&amp;lin=f&amp;keep=1&amp;srchmode=1&amp;unlock","Neosciurus carolinensis")</f>
        <v>Neosciurus carolinensis</v>
      </c>
      <c r="G6" t="s">
        <v>101</v>
      </c>
      <c r="H6" t="str">
        <f>HYPERLINK("http://www.ncbi.nlm.nih.gov/protein/XP_047395047.1","mRNA export factor")</f>
        <v>mRNA export factor</v>
      </c>
      <c r="I6" t="s">
        <v>267</v>
      </c>
      <c r="J6" t="s">
        <v>69</v>
      </c>
      <c r="K6">
        <v>296</v>
      </c>
      <c r="L6" t="s">
        <v>74</v>
      </c>
      <c r="M6" t="s">
        <v>69</v>
      </c>
      <c r="N6" t="s">
        <v>75</v>
      </c>
      <c r="O6" t="s">
        <v>69</v>
      </c>
      <c r="P6">
        <v>174.203</v>
      </c>
      <c r="Q6" t="s">
        <v>69</v>
      </c>
      <c r="R6" t="s">
        <v>69</v>
      </c>
      <c r="S6">
        <v>313</v>
      </c>
      <c r="T6" t="s">
        <v>149</v>
      </c>
      <c r="U6" t="s">
        <v>69</v>
      </c>
      <c r="V6" t="s">
        <v>150</v>
      </c>
      <c r="W6" t="s">
        <v>69</v>
      </c>
      <c r="X6">
        <v>119.119</v>
      </c>
      <c r="Y6" t="s">
        <v>69</v>
      </c>
      <c r="Z6" t="s">
        <v>69</v>
      </c>
      <c r="AA6">
        <v>314</v>
      </c>
      <c r="AB6" t="s">
        <v>151</v>
      </c>
      <c r="AC6" t="s">
        <v>69</v>
      </c>
      <c r="AD6" t="s">
        <v>152</v>
      </c>
      <c r="AE6" t="s">
        <v>69</v>
      </c>
      <c r="AF6">
        <v>165.19200000000001</v>
      </c>
      <c r="AG6" t="s">
        <v>69</v>
      </c>
      <c r="AH6" t="s">
        <v>69</v>
      </c>
      <c r="AI6">
        <v>315</v>
      </c>
      <c r="AJ6" t="s">
        <v>76</v>
      </c>
      <c r="AK6" t="s">
        <v>69</v>
      </c>
      <c r="AL6" t="s">
        <v>75</v>
      </c>
      <c r="AM6" t="s">
        <v>69</v>
      </c>
      <c r="AN6">
        <v>146.18899999999999</v>
      </c>
      <c r="AO6" t="s">
        <v>69</v>
      </c>
      <c r="AP6" t="s">
        <v>69</v>
      </c>
      <c r="AQ6">
        <v>362</v>
      </c>
      <c r="AR6" t="s">
        <v>74</v>
      </c>
      <c r="AS6" t="s">
        <v>69</v>
      </c>
      <c r="AT6" t="s">
        <v>75</v>
      </c>
      <c r="AU6" t="s">
        <v>69</v>
      </c>
      <c r="AV6">
        <v>174.203</v>
      </c>
      <c r="AW6" t="s">
        <v>69</v>
      </c>
      <c r="AX6" t="s">
        <v>69</v>
      </c>
      <c r="AY6">
        <v>363</v>
      </c>
      <c r="AZ6" t="s">
        <v>149</v>
      </c>
      <c r="BA6" t="s">
        <v>69</v>
      </c>
      <c r="BB6" t="s">
        <v>150</v>
      </c>
      <c r="BC6" t="s">
        <v>69</v>
      </c>
      <c r="BD6">
        <v>119.119</v>
      </c>
      <c r="BE6" t="s">
        <v>69</v>
      </c>
      <c r="BF6" t="s">
        <v>69</v>
      </c>
      <c r="BG6">
        <v>364</v>
      </c>
      <c r="BH6" t="s">
        <v>76</v>
      </c>
      <c r="BI6" t="s">
        <v>69</v>
      </c>
      <c r="BJ6" t="s">
        <v>75</v>
      </c>
      <c r="BK6" t="s">
        <v>69</v>
      </c>
      <c r="BL6">
        <v>146.18899999999999</v>
      </c>
      <c r="BM6" t="s">
        <v>69</v>
      </c>
      <c r="BN6" t="s">
        <v>69</v>
      </c>
      <c r="BO6">
        <v>366</v>
      </c>
      <c r="BP6" t="s">
        <v>76</v>
      </c>
      <c r="BQ6" t="s">
        <v>69</v>
      </c>
      <c r="BR6" t="s">
        <v>75</v>
      </c>
      <c r="BS6" t="s">
        <v>69</v>
      </c>
      <c r="BT6">
        <v>146.18899999999999</v>
      </c>
      <c r="BU6" t="s">
        <v>69</v>
      </c>
      <c r="BV6" t="s">
        <v>69</v>
      </c>
      <c r="BW6">
        <v>367</v>
      </c>
      <c r="BX6" t="s">
        <v>149</v>
      </c>
      <c r="BY6" t="s">
        <v>69</v>
      </c>
      <c r="BZ6" t="s">
        <v>150</v>
      </c>
      <c r="CA6" t="s">
        <v>69</v>
      </c>
      <c r="CB6">
        <v>119.119</v>
      </c>
      <c r="CC6" t="s">
        <v>69</v>
      </c>
      <c r="CD6" t="s">
        <v>69</v>
      </c>
    </row>
    <row r="7" spans="1:82" x14ac:dyDescent="0.25">
      <c r="A7">
        <v>7</v>
      </c>
      <c r="B7" t="str">
        <f>HYPERLINK("http://www.ncbi.nlm.nih.gov/protein/XP_004062462.1","XP_004062462.1")</f>
        <v>XP_004062462.1</v>
      </c>
      <c r="C7">
        <v>52137</v>
      </c>
      <c r="D7" t="str">
        <f>HYPERLINK("http://www.ncbi.nlm.nih.gov/Taxonomy/Browser/wwwtax.cgi?mode=Info&amp;id=9595&amp;lvl=3&amp;lin=f&amp;keep=1&amp;srchmode=1&amp;unlock","9595")</f>
        <v>9595</v>
      </c>
      <c r="E7" t="s">
        <v>66</v>
      </c>
      <c r="F7" t="str">
        <f>HYPERLINK("http://www.ncbi.nlm.nih.gov/Taxonomy/Browser/wwwtax.cgi?mode=Info&amp;id=9595&amp;lvl=3&amp;lin=f&amp;keep=1&amp;srchmode=1&amp;unlock","Gorilla gorilla gorilla")</f>
        <v>Gorilla gorilla gorilla</v>
      </c>
      <c r="G7" t="s">
        <v>79</v>
      </c>
      <c r="H7" t="str">
        <f>HYPERLINK("http://www.ncbi.nlm.nih.gov/protein/XP_004062462.1","mRNA export factor")</f>
        <v>mRNA export factor</v>
      </c>
      <c r="I7" t="s">
        <v>267</v>
      </c>
      <c r="J7" t="s">
        <v>69</v>
      </c>
      <c r="K7">
        <v>239</v>
      </c>
      <c r="L7" t="s">
        <v>74</v>
      </c>
      <c r="M7" t="s">
        <v>69</v>
      </c>
      <c r="N7" t="s">
        <v>75</v>
      </c>
      <c r="O7" t="s">
        <v>69</v>
      </c>
      <c r="P7">
        <v>174.203</v>
      </c>
      <c r="Q7" t="s">
        <v>69</v>
      </c>
      <c r="R7" t="s">
        <v>69</v>
      </c>
      <c r="S7">
        <v>256</v>
      </c>
      <c r="T7" t="s">
        <v>149</v>
      </c>
      <c r="U7" t="s">
        <v>69</v>
      </c>
      <c r="V7" t="s">
        <v>150</v>
      </c>
      <c r="W7" t="s">
        <v>69</v>
      </c>
      <c r="X7">
        <v>119.119</v>
      </c>
      <c r="Y7" t="s">
        <v>69</v>
      </c>
      <c r="Z7" t="s">
        <v>69</v>
      </c>
      <c r="AA7">
        <v>257</v>
      </c>
      <c r="AB7" t="s">
        <v>151</v>
      </c>
      <c r="AC7" t="s">
        <v>69</v>
      </c>
      <c r="AD7" t="s">
        <v>152</v>
      </c>
      <c r="AE7" t="s">
        <v>69</v>
      </c>
      <c r="AF7">
        <v>165.19200000000001</v>
      </c>
      <c r="AG7" t="s">
        <v>69</v>
      </c>
      <c r="AH7" t="s">
        <v>69</v>
      </c>
      <c r="AI7">
        <v>258</v>
      </c>
      <c r="AJ7" t="s">
        <v>76</v>
      </c>
      <c r="AK7" t="s">
        <v>69</v>
      </c>
      <c r="AL7" t="s">
        <v>75</v>
      </c>
      <c r="AM7" t="s">
        <v>69</v>
      </c>
      <c r="AN7">
        <v>146.18899999999999</v>
      </c>
      <c r="AO7" t="s">
        <v>69</v>
      </c>
      <c r="AP7" t="s">
        <v>69</v>
      </c>
      <c r="AQ7">
        <v>305</v>
      </c>
      <c r="AR7" t="s">
        <v>74</v>
      </c>
      <c r="AS7" t="s">
        <v>69</v>
      </c>
      <c r="AT7" t="s">
        <v>75</v>
      </c>
      <c r="AU7" t="s">
        <v>69</v>
      </c>
      <c r="AV7">
        <v>174.203</v>
      </c>
      <c r="AW7" t="s">
        <v>69</v>
      </c>
      <c r="AX7" t="s">
        <v>69</v>
      </c>
      <c r="AY7">
        <v>306</v>
      </c>
      <c r="AZ7" t="s">
        <v>149</v>
      </c>
      <c r="BA7" t="s">
        <v>69</v>
      </c>
      <c r="BB7" t="s">
        <v>150</v>
      </c>
      <c r="BC7" t="s">
        <v>69</v>
      </c>
      <c r="BD7">
        <v>119.119</v>
      </c>
      <c r="BE7" t="s">
        <v>69</v>
      </c>
      <c r="BF7" t="s">
        <v>69</v>
      </c>
      <c r="BG7">
        <v>307</v>
      </c>
      <c r="BH7" t="s">
        <v>76</v>
      </c>
      <c r="BI7" t="s">
        <v>69</v>
      </c>
      <c r="BJ7" t="s">
        <v>75</v>
      </c>
      <c r="BK7" t="s">
        <v>69</v>
      </c>
      <c r="BL7">
        <v>146.18899999999999</v>
      </c>
      <c r="BM7" t="s">
        <v>69</v>
      </c>
      <c r="BN7" t="s">
        <v>69</v>
      </c>
      <c r="BO7">
        <v>309</v>
      </c>
      <c r="BP7" t="s">
        <v>76</v>
      </c>
      <c r="BQ7" t="s">
        <v>69</v>
      </c>
      <c r="BR7" t="s">
        <v>75</v>
      </c>
      <c r="BS7" t="s">
        <v>69</v>
      </c>
      <c r="BT7">
        <v>146.18899999999999</v>
      </c>
      <c r="BU7" t="s">
        <v>69</v>
      </c>
      <c r="BV7" t="s">
        <v>69</v>
      </c>
      <c r="BW7">
        <v>310</v>
      </c>
      <c r="BX7" t="s">
        <v>149</v>
      </c>
      <c r="BY7" t="s">
        <v>69</v>
      </c>
      <c r="BZ7" t="s">
        <v>150</v>
      </c>
      <c r="CA7" t="s">
        <v>69</v>
      </c>
      <c r="CB7">
        <v>119.119</v>
      </c>
      <c r="CC7" t="s">
        <v>69</v>
      </c>
      <c r="CD7" t="s">
        <v>69</v>
      </c>
    </row>
    <row r="8" spans="1:82" x14ac:dyDescent="0.25">
      <c r="A8">
        <v>7</v>
      </c>
      <c r="B8" t="str">
        <f>HYPERLINK("http://www.ncbi.nlm.nih.gov/protein/XP_008011530.1","XP_008011530.1")</f>
        <v>XP_008011530.1</v>
      </c>
      <c r="C8">
        <v>62302</v>
      </c>
      <c r="D8" t="str">
        <f>HYPERLINK("http://www.ncbi.nlm.nih.gov/Taxonomy/Browser/wwwtax.cgi?mode=Info&amp;id=60711&amp;lvl=3&amp;lin=f&amp;keep=1&amp;srchmode=1&amp;unlock","60711")</f>
        <v>60711</v>
      </c>
      <c r="E8" t="s">
        <v>66</v>
      </c>
      <c r="F8" t="str">
        <f>HYPERLINK("http://www.ncbi.nlm.nih.gov/Taxonomy/Browser/wwwtax.cgi?mode=Info&amp;id=60711&amp;lvl=3&amp;lin=f&amp;keep=1&amp;srchmode=1&amp;unlock","Chlorocebus sabaeus")</f>
        <v>Chlorocebus sabaeus</v>
      </c>
      <c r="G8" t="s">
        <v>78</v>
      </c>
      <c r="H8" t="str">
        <f>HYPERLINK("http://www.ncbi.nlm.nih.gov/protein/XP_008011530.1","mRNA export factor")</f>
        <v>mRNA export factor</v>
      </c>
      <c r="I8" t="s">
        <v>267</v>
      </c>
      <c r="J8" t="s">
        <v>69</v>
      </c>
      <c r="K8">
        <v>239</v>
      </c>
      <c r="L8" t="s">
        <v>74</v>
      </c>
      <c r="M8" t="s">
        <v>69</v>
      </c>
      <c r="N8" t="s">
        <v>75</v>
      </c>
      <c r="O8" t="s">
        <v>69</v>
      </c>
      <c r="P8">
        <v>174.203</v>
      </c>
      <c r="Q8" t="s">
        <v>69</v>
      </c>
      <c r="R8" t="s">
        <v>69</v>
      </c>
      <c r="S8">
        <v>256</v>
      </c>
      <c r="T8" t="s">
        <v>149</v>
      </c>
      <c r="U8" t="s">
        <v>69</v>
      </c>
      <c r="V8" t="s">
        <v>150</v>
      </c>
      <c r="W8" t="s">
        <v>69</v>
      </c>
      <c r="X8">
        <v>119.119</v>
      </c>
      <c r="Y8" t="s">
        <v>69</v>
      </c>
      <c r="Z8" t="s">
        <v>69</v>
      </c>
      <c r="AA8">
        <v>257</v>
      </c>
      <c r="AB8" t="s">
        <v>151</v>
      </c>
      <c r="AC8" t="s">
        <v>69</v>
      </c>
      <c r="AD8" t="s">
        <v>152</v>
      </c>
      <c r="AE8" t="s">
        <v>69</v>
      </c>
      <c r="AF8">
        <v>165.19200000000001</v>
      </c>
      <c r="AG8" t="s">
        <v>69</v>
      </c>
      <c r="AH8" t="s">
        <v>69</v>
      </c>
      <c r="AI8">
        <v>258</v>
      </c>
      <c r="AJ8" t="s">
        <v>76</v>
      </c>
      <c r="AK8" t="s">
        <v>69</v>
      </c>
      <c r="AL8" t="s">
        <v>75</v>
      </c>
      <c r="AM8" t="s">
        <v>69</v>
      </c>
      <c r="AN8">
        <v>146.18899999999999</v>
      </c>
      <c r="AO8" t="s">
        <v>69</v>
      </c>
      <c r="AP8" t="s">
        <v>69</v>
      </c>
      <c r="AQ8">
        <v>305</v>
      </c>
      <c r="AR8" t="s">
        <v>74</v>
      </c>
      <c r="AS8" t="s">
        <v>69</v>
      </c>
      <c r="AT8" t="s">
        <v>75</v>
      </c>
      <c r="AU8" t="s">
        <v>69</v>
      </c>
      <c r="AV8">
        <v>174.203</v>
      </c>
      <c r="AW8" t="s">
        <v>69</v>
      </c>
      <c r="AX8" t="s">
        <v>69</v>
      </c>
      <c r="AY8">
        <v>306</v>
      </c>
      <c r="AZ8" t="s">
        <v>149</v>
      </c>
      <c r="BA8" t="s">
        <v>69</v>
      </c>
      <c r="BB8" t="s">
        <v>150</v>
      </c>
      <c r="BC8" t="s">
        <v>69</v>
      </c>
      <c r="BD8">
        <v>119.119</v>
      </c>
      <c r="BE8" t="s">
        <v>69</v>
      </c>
      <c r="BF8" t="s">
        <v>69</v>
      </c>
      <c r="BG8">
        <v>307</v>
      </c>
      <c r="BH8" t="s">
        <v>76</v>
      </c>
      <c r="BI8" t="s">
        <v>69</v>
      </c>
      <c r="BJ8" t="s">
        <v>75</v>
      </c>
      <c r="BK8" t="s">
        <v>69</v>
      </c>
      <c r="BL8">
        <v>146.18899999999999</v>
      </c>
      <c r="BM8" t="s">
        <v>69</v>
      </c>
      <c r="BN8" t="s">
        <v>69</v>
      </c>
      <c r="BO8">
        <v>309</v>
      </c>
      <c r="BP8" t="s">
        <v>76</v>
      </c>
      <c r="BQ8" t="s">
        <v>69</v>
      </c>
      <c r="BR8" t="s">
        <v>75</v>
      </c>
      <c r="BS8" t="s">
        <v>69</v>
      </c>
      <c r="BT8">
        <v>146.18899999999999</v>
      </c>
      <c r="BU8" t="s">
        <v>69</v>
      </c>
      <c r="BV8" t="s">
        <v>69</v>
      </c>
      <c r="BW8">
        <v>310</v>
      </c>
      <c r="BX8" t="s">
        <v>149</v>
      </c>
      <c r="BY8" t="s">
        <v>69</v>
      </c>
      <c r="BZ8" t="s">
        <v>150</v>
      </c>
      <c r="CA8" t="s">
        <v>69</v>
      </c>
      <c r="CB8">
        <v>119.119</v>
      </c>
      <c r="CC8" t="s">
        <v>69</v>
      </c>
      <c r="CD8" t="s">
        <v>69</v>
      </c>
    </row>
    <row r="9" spans="1:82" x14ac:dyDescent="0.25">
      <c r="A9">
        <v>7</v>
      </c>
      <c r="B9" t="str">
        <f>HYPERLINK("http://www.ncbi.nlm.nih.gov/protein/XP_042836031.1","XP_042836031.1")</f>
        <v>XP_042836031.1</v>
      </c>
      <c r="C9">
        <v>56089</v>
      </c>
      <c r="D9" t="str">
        <f>HYPERLINK("http://www.ncbi.nlm.nih.gov/Taxonomy/Browser/wwwtax.cgi?mode=Info&amp;id=9694&amp;lvl=3&amp;lin=f&amp;keep=1&amp;srchmode=1&amp;unlock","9694")</f>
        <v>9694</v>
      </c>
      <c r="E9" t="s">
        <v>66</v>
      </c>
      <c r="F9" t="str">
        <f>HYPERLINK("http://www.ncbi.nlm.nih.gov/Taxonomy/Browser/wwwtax.cgi?mode=Info&amp;id=9694&amp;lvl=3&amp;lin=f&amp;keep=1&amp;srchmode=1&amp;unlock","Panthera tigris")</f>
        <v>Panthera tigris</v>
      </c>
      <c r="G9" t="s">
        <v>89</v>
      </c>
      <c r="H9" t="str">
        <f>HYPERLINK("http://www.ncbi.nlm.nih.gov/protein/XP_042836031.1","mRNA export factor isoform X2")</f>
        <v>mRNA export factor isoform X2</v>
      </c>
      <c r="I9" t="s">
        <v>267</v>
      </c>
      <c r="J9" t="s">
        <v>69</v>
      </c>
      <c r="K9">
        <v>254</v>
      </c>
      <c r="L9" t="s">
        <v>74</v>
      </c>
      <c r="M9" t="s">
        <v>69</v>
      </c>
      <c r="N9" t="s">
        <v>75</v>
      </c>
      <c r="O9" t="s">
        <v>69</v>
      </c>
      <c r="P9">
        <v>174.203</v>
      </c>
      <c r="Q9" t="s">
        <v>69</v>
      </c>
      <c r="R9" t="s">
        <v>69</v>
      </c>
      <c r="S9">
        <v>271</v>
      </c>
      <c r="T9" t="s">
        <v>149</v>
      </c>
      <c r="U9" t="s">
        <v>69</v>
      </c>
      <c r="V9" t="s">
        <v>150</v>
      </c>
      <c r="W9" t="s">
        <v>69</v>
      </c>
      <c r="X9">
        <v>119.119</v>
      </c>
      <c r="Y9" t="s">
        <v>69</v>
      </c>
      <c r="Z9" t="s">
        <v>69</v>
      </c>
      <c r="AA9">
        <v>272</v>
      </c>
      <c r="AB9" t="s">
        <v>151</v>
      </c>
      <c r="AC9" t="s">
        <v>69</v>
      </c>
      <c r="AD9" t="s">
        <v>152</v>
      </c>
      <c r="AE9" t="s">
        <v>69</v>
      </c>
      <c r="AF9">
        <v>165.19200000000001</v>
      </c>
      <c r="AG9" t="s">
        <v>69</v>
      </c>
      <c r="AH9" t="s">
        <v>69</v>
      </c>
      <c r="AI9">
        <v>273</v>
      </c>
      <c r="AJ9" t="s">
        <v>76</v>
      </c>
      <c r="AK9" t="s">
        <v>69</v>
      </c>
      <c r="AL9" t="s">
        <v>75</v>
      </c>
      <c r="AM9" t="s">
        <v>69</v>
      </c>
      <c r="AN9">
        <v>146.18899999999999</v>
      </c>
      <c r="AO9" t="s">
        <v>69</v>
      </c>
      <c r="AP9" t="s">
        <v>69</v>
      </c>
      <c r="AQ9">
        <v>320</v>
      </c>
      <c r="AR9" t="s">
        <v>74</v>
      </c>
      <c r="AS9" t="s">
        <v>69</v>
      </c>
      <c r="AT9" t="s">
        <v>75</v>
      </c>
      <c r="AU9" t="s">
        <v>69</v>
      </c>
      <c r="AV9">
        <v>174.203</v>
      </c>
      <c r="AW9" t="s">
        <v>69</v>
      </c>
      <c r="AX9" t="s">
        <v>69</v>
      </c>
      <c r="AY9">
        <v>321</v>
      </c>
      <c r="AZ9" t="s">
        <v>149</v>
      </c>
      <c r="BA9" t="s">
        <v>69</v>
      </c>
      <c r="BB9" t="s">
        <v>150</v>
      </c>
      <c r="BC9" t="s">
        <v>69</v>
      </c>
      <c r="BD9">
        <v>119.119</v>
      </c>
      <c r="BE9" t="s">
        <v>69</v>
      </c>
      <c r="BF9" t="s">
        <v>69</v>
      </c>
      <c r="BG9">
        <v>322</v>
      </c>
      <c r="BH9" t="s">
        <v>76</v>
      </c>
      <c r="BI9" t="s">
        <v>69</v>
      </c>
      <c r="BJ9" t="s">
        <v>75</v>
      </c>
      <c r="BK9" t="s">
        <v>69</v>
      </c>
      <c r="BL9">
        <v>146.18899999999999</v>
      </c>
      <c r="BM9" t="s">
        <v>69</v>
      </c>
      <c r="BN9" t="s">
        <v>69</v>
      </c>
      <c r="BO9">
        <v>324</v>
      </c>
      <c r="BP9" t="s">
        <v>76</v>
      </c>
      <c r="BQ9" t="s">
        <v>69</v>
      </c>
      <c r="BR9" t="s">
        <v>75</v>
      </c>
      <c r="BS9" t="s">
        <v>69</v>
      </c>
      <c r="BT9">
        <v>146.18899999999999</v>
      </c>
      <c r="BU9" t="s">
        <v>69</v>
      </c>
      <c r="BV9" t="s">
        <v>69</v>
      </c>
      <c r="BW9">
        <v>325</v>
      </c>
      <c r="BX9" t="s">
        <v>149</v>
      </c>
      <c r="BY9" t="s">
        <v>69</v>
      </c>
      <c r="BZ9" t="s">
        <v>150</v>
      </c>
      <c r="CA9" t="s">
        <v>69</v>
      </c>
      <c r="CB9">
        <v>119.119</v>
      </c>
      <c r="CC9" t="s">
        <v>69</v>
      </c>
      <c r="CD9" t="s">
        <v>69</v>
      </c>
    </row>
    <row r="10" spans="1:82" x14ac:dyDescent="0.25">
      <c r="A10">
        <v>7</v>
      </c>
      <c r="B10" t="str">
        <f>HYPERLINK("http://www.ncbi.nlm.nih.gov/protein/XP_042786525.1","XP_042786525.1")</f>
        <v>XP_042786525.1</v>
      </c>
      <c r="C10">
        <v>53677</v>
      </c>
      <c r="D10" t="str">
        <f>HYPERLINK("http://www.ncbi.nlm.nih.gov/Taxonomy/Browser/wwwtax.cgi?mode=Info&amp;id=9689&amp;lvl=3&amp;lin=f&amp;keep=1&amp;srchmode=1&amp;unlock","9689")</f>
        <v>9689</v>
      </c>
      <c r="E10" t="s">
        <v>66</v>
      </c>
      <c r="F10" t="str">
        <f>HYPERLINK("http://www.ncbi.nlm.nih.gov/Taxonomy/Browser/wwwtax.cgi?mode=Info&amp;id=9689&amp;lvl=3&amp;lin=f&amp;keep=1&amp;srchmode=1&amp;unlock","Panthera leo")</f>
        <v>Panthera leo</v>
      </c>
      <c r="G10" t="s">
        <v>90</v>
      </c>
      <c r="H10" t="str">
        <f>HYPERLINK("http://www.ncbi.nlm.nih.gov/protein/XP_042786525.1","mRNA export factor isoform X2")</f>
        <v>mRNA export factor isoform X2</v>
      </c>
      <c r="I10" t="s">
        <v>267</v>
      </c>
      <c r="J10" t="s">
        <v>69</v>
      </c>
      <c r="K10">
        <v>254</v>
      </c>
      <c r="L10" t="s">
        <v>74</v>
      </c>
      <c r="M10" t="s">
        <v>69</v>
      </c>
      <c r="N10" t="s">
        <v>75</v>
      </c>
      <c r="O10" t="s">
        <v>69</v>
      </c>
      <c r="P10">
        <v>174.203</v>
      </c>
      <c r="Q10" t="s">
        <v>69</v>
      </c>
      <c r="R10" t="s">
        <v>69</v>
      </c>
      <c r="S10">
        <v>271</v>
      </c>
      <c r="T10" t="s">
        <v>149</v>
      </c>
      <c r="U10" t="s">
        <v>69</v>
      </c>
      <c r="V10" t="s">
        <v>150</v>
      </c>
      <c r="W10" t="s">
        <v>69</v>
      </c>
      <c r="X10">
        <v>119.119</v>
      </c>
      <c r="Y10" t="s">
        <v>69</v>
      </c>
      <c r="Z10" t="s">
        <v>69</v>
      </c>
      <c r="AA10">
        <v>272</v>
      </c>
      <c r="AB10" t="s">
        <v>151</v>
      </c>
      <c r="AC10" t="s">
        <v>69</v>
      </c>
      <c r="AD10" t="s">
        <v>152</v>
      </c>
      <c r="AE10" t="s">
        <v>69</v>
      </c>
      <c r="AF10">
        <v>165.19200000000001</v>
      </c>
      <c r="AG10" t="s">
        <v>69</v>
      </c>
      <c r="AH10" t="s">
        <v>69</v>
      </c>
      <c r="AI10">
        <v>273</v>
      </c>
      <c r="AJ10" t="s">
        <v>76</v>
      </c>
      <c r="AK10" t="s">
        <v>69</v>
      </c>
      <c r="AL10" t="s">
        <v>75</v>
      </c>
      <c r="AM10" t="s">
        <v>69</v>
      </c>
      <c r="AN10">
        <v>146.18899999999999</v>
      </c>
      <c r="AO10" t="s">
        <v>69</v>
      </c>
      <c r="AP10" t="s">
        <v>69</v>
      </c>
      <c r="AQ10">
        <v>320</v>
      </c>
      <c r="AR10" t="s">
        <v>74</v>
      </c>
      <c r="AS10" t="s">
        <v>69</v>
      </c>
      <c r="AT10" t="s">
        <v>75</v>
      </c>
      <c r="AU10" t="s">
        <v>69</v>
      </c>
      <c r="AV10">
        <v>174.203</v>
      </c>
      <c r="AW10" t="s">
        <v>69</v>
      </c>
      <c r="AX10" t="s">
        <v>69</v>
      </c>
      <c r="AY10">
        <v>321</v>
      </c>
      <c r="AZ10" t="s">
        <v>149</v>
      </c>
      <c r="BA10" t="s">
        <v>69</v>
      </c>
      <c r="BB10" t="s">
        <v>150</v>
      </c>
      <c r="BC10" t="s">
        <v>69</v>
      </c>
      <c r="BD10">
        <v>119.119</v>
      </c>
      <c r="BE10" t="s">
        <v>69</v>
      </c>
      <c r="BF10" t="s">
        <v>69</v>
      </c>
      <c r="BG10">
        <v>322</v>
      </c>
      <c r="BH10" t="s">
        <v>76</v>
      </c>
      <c r="BI10" t="s">
        <v>69</v>
      </c>
      <c r="BJ10" t="s">
        <v>75</v>
      </c>
      <c r="BK10" t="s">
        <v>69</v>
      </c>
      <c r="BL10">
        <v>146.18899999999999</v>
      </c>
      <c r="BM10" t="s">
        <v>69</v>
      </c>
      <c r="BN10" t="s">
        <v>69</v>
      </c>
      <c r="BO10">
        <v>324</v>
      </c>
      <c r="BP10" t="s">
        <v>76</v>
      </c>
      <c r="BQ10" t="s">
        <v>69</v>
      </c>
      <c r="BR10" t="s">
        <v>75</v>
      </c>
      <c r="BS10" t="s">
        <v>69</v>
      </c>
      <c r="BT10">
        <v>146.18899999999999</v>
      </c>
      <c r="BU10" t="s">
        <v>69</v>
      </c>
      <c r="BV10" t="s">
        <v>69</v>
      </c>
      <c r="BW10">
        <v>325</v>
      </c>
      <c r="BX10" t="s">
        <v>149</v>
      </c>
      <c r="BY10" t="s">
        <v>69</v>
      </c>
      <c r="BZ10" t="s">
        <v>150</v>
      </c>
      <c r="CA10" t="s">
        <v>69</v>
      </c>
      <c r="CB10">
        <v>119.119</v>
      </c>
      <c r="CC10" t="s">
        <v>69</v>
      </c>
      <c r="CD10" t="s">
        <v>69</v>
      </c>
    </row>
    <row r="11" spans="1:82" x14ac:dyDescent="0.25">
      <c r="A11">
        <v>7</v>
      </c>
      <c r="B11" t="str">
        <f>HYPERLINK("http://www.ncbi.nlm.nih.gov/protein/NP_001098766.1","NP_001098766.1")</f>
        <v>NP_001098766.1</v>
      </c>
      <c r="C11">
        <v>86952</v>
      </c>
      <c r="D11" t="str">
        <f>HYPERLINK("http://www.ncbi.nlm.nih.gov/Taxonomy/Browser/wwwtax.cgi?mode=Info&amp;id=9823&amp;lvl=3&amp;lin=f&amp;keep=1&amp;srchmode=1&amp;unlock","9823")</f>
        <v>9823</v>
      </c>
      <c r="E11" t="s">
        <v>66</v>
      </c>
      <c r="F11" t="str">
        <f>HYPERLINK("http://www.ncbi.nlm.nih.gov/Taxonomy/Browser/wwwtax.cgi?mode=Info&amp;id=9823&amp;lvl=3&amp;lin=f&amp;keep=1&amp;srchmode=1&amp;unlock","Sus scrofa")</f>
        <v>Sus scrofa</v>
      </c>
      <c r="G11" t="s">
        <v>85</v>
      </c>
      <c r="H11" t="str">
        <f>HYPERLINK("http://www.ncbi.nlm.nih.gov/protein/NP_001098766.1","mRNA export factor")</f>
        <v>mRNA export factor</v>
      </c>
      <c r="I11" t="s">
        <v>267</v>
      </c>
      <c r="J11" t="s">
        <v>69</v>
      </c>
      <c r="K11">
        <v>239</v>
      </c>
      <c r="L11" t="s">
        <v>74</v>
      </c>
      <c r="M11" t="s">
        <v>69</v>
      </c>
      <c r="N11" t="s">
        <v>75</v>
      </c>
      <c r="O11" t="s">
        <v>69</v>
      </c>
      <c r="P11">
        <v>174.203</v>
      </c>
      <c r="Q11" t="s">
        <v>69</v>
      </c>
      <c r="R11" t="s">
        <v>69</v>
      </c>
      <c r="S11">
        <v>256</v>
      </c>
      <c r="T11" t="s">
        <v>149</v>
      </c>
      <c r="U11" t="s">
        <v>69</v>
      </c>
      <c r="V11" t="s">
        <v>150</v>
      </c>
      <c r="W11" t="s">
        <v>69</v>
      </c>
      <c r="X11">
        <v>119.119</v>
      </c>
      <c r="Y11" t="s">
        <v>69</v>
      </c>
      <c r="Z11" t="s">
        <v>69</v>
      </c>
      <c r="AA11">
        <v>257</v>
      </c>
      <c r="AB11" t="s">
        <v>151</v>
      </c>
      <c r="AC11" t="s">
        <v>69</v>
      </c>
      <c r="AD11" t="s">
        <v>152</v>
      </c>
      <c r="AE11" t="s">
        <v>69</v>
      </c>
      <c r="AF11">
        <v>165.19200000000001</v>
      </c>
      <c r="AG11" t="s">
        <v>69</v>
      </c>
      <c r="AH11" t="s">
        <v>69</v>
      </c>
      <c r="AI11">
        <v>258</v>
      </c>
      <c r="AJ11" t="s">
        <v>76</v>
      </c>
      <c r="AK11" t="s">
        <v>69</v>
      </c>
      <c r="AL11" t="s">
        <v>75</v>
      </c>
      <c r="AM11" t="s">
        <v>69</v>
      </c>
      <c r="AN11">
        <v>146.18899999999999</v>
      </c>
      <c r="AO11" t="s">
        <v>69</v>
      </c>
      <c r="AP11" t="s">
        <v>69</v>
      </c>
      <c r="AQ11">
        <v>305</v>
      </c>
      <c r="AR11" t="s">
        <v>74</v>
      </c>
      <c r="AS11" t="s">
        <v>69</v>
      </c>
      <c r="AT11" t="s">
        <v>75</v>
      </c>
      <c r="AU11" t="s">
        <v>69</v>
      </c>
      <c r="AV11">
        <v>174.203</v>
      </c>
      <c r="AW11" t="s">
        <v>69</v>
      </c>
      <c r="AX11" t="s">
        <v>69</v>
      </c>
      <c r="AY11">
        <v>306</v>
      </c>
      <c r="AZ11" t="s">
        <v>149</v>
      </c>
      <c r="BA11" t="s">
        <v>69</v>
      </c>
      <c r="BB11" t="s">
        <v>150</v>
      </c>
      <c r="BC11" t="s">
        <v>69</v>
      </c>
      <c r="BD11">
        <v>119.119</v>
      </c>
      <c r="BE11" t="s">
        <v>69</v>
      </c>
      <c r="BF11" t="s">
        <v>69</v>
      </c>
      <c r="BG11">
        <v>307</v>
      </c>
      <c r="BH11" t="s">
        <v>76</v>
      </c>
      <c r="BI11" t="s">
        <v>69</v>
      </c>
      <c r="BJ11" t="s">
        <v>75</v>
      </c>
      <c r="BK11" t="s">
        <v>69</v>
      </c>
      <c r="BL11">
        <v>146.18899999999999</v>
      </c>
      <c r="BM11" t="s">
        <v>69</v>
      </c>
      <c r="BN11" t="s">
        <v>69</v>
      </c>
      <c r="BO11">
        <v>309</v>
      </c>
      <c r="BP11" t="s">
        <v>76</v>
      </c>
      <c r="BQ11" t="s">
        <v>69</v>
      </c>
      <c r="BR11" t="s">
        <v>75</v>
      </c>
      <c r="BS11" t="s">
        <v>69</v>
      </c>
      <c r="BT11">
        <v>146.18899999999999</v>
      </c>
      <c r="BU11" t="s">
        <v>69</v>
      </c>
      <c r="BV11" t="s">
        <v>69</v>
      </c>
      <c r="BW11">
        <v>310</v>
      </c>
      <c r="BX11" t="s">
        <v>149</v>
      </c>
      <c r="BY11" t="s">
        <v>69</v>
      </c>
      <c r="BZ11" t="s">
        <v>150</v>
      </c>
      <c r="CA11" t="s">
        <v>69</v>
      </c>
      <c r="CB11">
        <v>119.119</v>
      </c>
      <c r="CC11" t="s">
        <v>69</v>
      </c>
      <c r="CD11" t="s">
        <v>69</v>
      </c>
    </row>
    <row r="12" spans="1:82" x14ac:dyDescent="0.25">
      <c r="A12">
        <v>7</v>
      </c>
      <c r="B12" t="str">
        <f>HYPERLINK("http://www.ncbi.nlm.nih.gov/protein/XP_003983399.1","XP_003983399.1")</f>
        <v>XP_003983399.1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HYPERLINK("http://www.ncbi.nlm.nih.gov/protein/XP_003983399.1","mRNA export factor")</f>
        <v>mRNA export factor</v>
      </c>
      <c r="I12" t="s">
        <v>267</v>
      </c>
      <c r="J12" t="s">
        <v>69</v>
      </c>
      <c r="K12">
        <v>239</v>
      </c>
      <c r="L12" t="s">
        <v>74</v>
      </c>
      <c r="M12" t="s">
        <v>69</v>
      </c>
      <c r="N12" t="s">
        <v>75</v>
      </c>
      <c r="O12" t="s">
        <v>69</v>
      </c>
      <c r="P12">
        <v>174.203</v>
      </c>
      <c r="Q12" t="s">
        <v>69</v>
      </c>
      <c r="R12" t="s">
        <v>69</v>
      </c>
      <c r="S12">
        <v>256</v>
      </c>
      <c r="T12" t="s">
        <v>149</v>
      </c>
      <c r="U12" t="s">
        <v>69</v>
      </c>
      <c r="V12" t="s">
        <v>150</v>
      </c>
      <c r="W12" t="s">
        <v>69</v>
      </c>
      <c r="X12">
        <v>119.119</v>
      </c>
      <c r="Y12" t="s">
        <v>69</v>
      </c>
      <c r="Z12" t="s">
        <v>69</v>
      </c>
      <c r="AA12">
        <v>257</v>
      </c>
      <c r="AB12" t="s">
        <v>151</v>
      </c>
      <c r="AC12" t="s">
        <v>69</v>
      </c>
      <c r="AD12" t="s">
        <v>152</v>
      </c>
      <c r="AE12" t="s">
        <v>69</v>
      </c>
      <c r="AF12">
        <v>165.19200000000001</v>
      </c>
      <c r="AG12" t="s">
        <v>69</v>
      </c>
      <c r="AH12" t="s">
        <v>69</v>
      </c>
      <c r="AI12">
        <v>258</v>
      </c>
      <c r="AJ12" t="s">
        <v>76</v>
      </c>
      <c r="AK12" t="s">
        <v>69</v>
      </c>
      <c r="AL12" t="s">
        <v>75</v>
      </c>
      <c r="AM12" t="s">
        <v>69</v>
      </c>
      <c r="AN12">
        <v>146.18899999999999</v>
      </c>
      <c r="AO12" t="s">
        <v>69</v>
      </c>
      <c r="AP12" t="s">
        <v>69</v>
      </c>
      <c r="AQ12">
        <v>305</v>
      </c>
      <c r="AR12" t="s">
        <v>74</v>
      </c>
      <c r="AS12" t="s">
        <v>69</v>
      </c>
      <c r="AT12" t="s">
        <v>75</v>
      </c>
      <c r="AU12" t="s">
        <v>69</v>
      </c>
      <c r="AV12">
        <v>174.203</v>
      </c>
      <c r="AW12" t="s">
        <v>69</v>
      </c>
      <c r="AX12" t="s">
        <v>69</v>
      </c>
      <c r="AY12">
        <v>306</v>
      </c>
      <c r="AZ12" t="s">
        <v>149</v>
      </c>
      <c r="BA12" t="s">
        <v>69</v>
      </c>
      <c r="BB12" t="s">
        <v>150</v>
      </c>
      <c r="BC12" t="s">
        <v>69</v>
      </c>
      <c r="BD12">
        <v>119.119</v>
      </c>
      <c r="BE12" t="s">
        <v>69</v>
      </c>
      <c r="BF12" t="s">
        <v>69</v>
      </c>
      <c r="BG12">
        <v>307</v>
      </c>
      <c r="BH12" t="s">
        <v>76</v>
      </c>
      <c r="BI12" t="s">
        <v>69</v>
      </c>
      <c r="BJ12" t="s">
        <v>75</v>
      </c>
      <c r="BK12" t="s">
        <v>69</v>
      </c>
      <c r="BL12">
        <v>146.18899999999999</v>
      </c>
      <c r="BM12" t="s">
        <v>69</v>
      </c>
      <c r="BN12" t="s">
        <v>69</v>
      </c>
      <c r="BO12">
        <v>309</v>
      </c>
      <c r="BP12" t="s">
        <v>76</v>
      </c>
      <c r="BQ12" t="s">
        <v>69</v>
      </c>
      <c r="BR12" t="s">
        <v>75</v>
      </c>
      <c r="BS12" t="s">
        <v>69</v>
      </c>
      <c r="BT12">
        <v>146.18899999999999</v>
      </c>
      <c r="BU12" t="s">
        <v>69</v>
      </c>
      <c r="BV12" t="s">
        <v>69</v>
      </c>
      <c r="BW12">
        <v>310</v>
      </c>
      <c r="BX12" t="s">
        <v>149</v>
      </c>
      <c r="BY12" t="s">
        <v>69</v>
      </c>
      <c r="BZ12" t="s">
        <v>150</v>
      </c>
      <c r="CA12" t="s">
        <v>69</v>
      </c>
      <c r="CB12">
        <v>119.119</v>
      </c>
      <c r="CC12" t="s">
        <v>69</v>
      </c>
      <c r="CD12" t="s">
        <v>69</v>
      </c>
    </row>
    <row r="13" spans="1:82" x14ac:dyDescent="0.25">
      <c r="A13">
        <v>7</v>
      </c>
      <c r="B13" t="str">
        <f>HYPERLINK("http://www.ncbi.nlm.nih.gov/protein/XP_025787796.1","XP_025787796.1")</f>
        <v>XP_025787796.1</v>
      </c>
      <c r="C13">
        <v>23623</v>
      </c>
      <c r="D13" t="str">
        <f>HYPERLINK("http://www.ncbi.nlm.nih.gov/Taxonomy/Browser/wwwtax.cgi?mode=Info&amp;id=9696&amp;lvl=3&amp;lin=f&amp;keep=1&amp;srchmode=1&amp;unlock","9696")</f>
        <v>9696</v>
      </c>
      <c r="E13" t="s">
        <v>66</v>
      </c>
      <c r="F13" t="str">
        <f>HYPERLINK("http://www.ncbi.nlm.nih.gov/Taxonomy/Browser/wwwtax.cgi?mode=Info&amp;id=9696&amp;lvl=3&amp;lin=f&amp;keep=1&amp;srchmode=1&amp;unlock","Puma concolor")</f>
        <v>Puma concolor</v>
      </c>
      <c r="G13" t="s">
        <v>91</v>
      </c>
      <c r="H13" t="str">
        <f>HYPERLINK("http://www.ncbi.nlm.nih.gov/protein/XP_025787796.1","mRNA export factor")</f>
        <v>mRNA export factor</v>
      </c>
      <c r="I13" t="s">
        <v>267</v>
      </c>
      <c r="J13" t="s">
        <v>69</v>
      </c>
      <c r="K13">
        <v>239</v>
      </c>
      <c r="L13" t="s">
        <v>74</v>
      </c>
      <c r="M13" t="s">
        <v>69</v>
      </c>
      <c r="N13" t="s">
        <v>75</v>
      </c>
      <c r="O13" t="s">
        <v>69</v>
      </c>
      <c r="P13">
        <v>174.203</v>
      </c>
      <c r="Q13" t="s">
        <v>69</v>
      </c>
      <c r="R13" t="s">
        <v>69</v>
      </c>
      <c r="S13">
        <v>256</v>
      </c>
      <c r="T13" t="s">
        <v>149</v>
      </c>
      <c r="U13" t="s">
        <v>69</v>
      </c>
      <c r="V13" t="s">
        <v>150</v>
      </c>
      <c r="W13" t="s">
        <v>69</v>
      </c>
      <c r="X13">
        <v>119.119</v>
      </c>
      <c r="Y13" t="s">
        <v>69</v>
      </c>
      <c r="Z13" t="s">
        <v>69</v>
      </c>
      <c r="AA13">
        <v>257</v>
      </c>
      <c r="AB13" t="s">
        <v>151</v>
      </c>
      <c r="AC13" t="s">
        <v>69</v>
      </c>
      <c r="AD13" t="s">
        <v>152</v>
      </c>
      <c r="AE13" t="s">
        <v>69</v>
      </c>
      <c r="AF13">
        <v>165.19200000000001</v>
      </c>
      <c r="AG13" t="s">
        <v>69</v>
      </c>
      <c r="AH13" t="s">
        <v>69</v>
      </c>
      <c r="AI13">
        <v>258</v>
      </c>
      <c r="AJ13" t="s">
        <v>76</v>
      </c>
      <c r="AK13" t="s">
        <v>69</v>
      </c>
      <c r="AL13" t="s">
        <v>75</v>
      </c>
      <c r="AM13" t="s">
        <v>69</v>
      </c>
      <c r="AN13">
        <v>146.18899999999999</v>
      </c>
      <c r="AO13" t="s">
        <v>69</v>
      </c>
      <c r="AP13" t="s">
        <v>69</v>
      </c>
      <c r="AQ13">
        <v>305</v>
      </c>
      <c r="AR13" t="s">
        <v>74</v>
      </c>
      <c r="AS13" t="s">
        <v>69</v>
      </c>
      <c r="AT13" t="s">
        <v>75</v>
      </c>
      <c r="AU13" t="s">
        <v>69</v>
      </c>
      <c r="AV13">
        <v>174.203</v>
      </c>
      <c r="AW13" t="s">
        <v>69</v>
      </c>
      <c r="AX13" t="s">
        <v>69</v>
      </c>
      <c r="AY13">
        <v>306</v>
      </c>
      <c r="AZ13" t="s">
        <v>149</v>
      </c>
      <c r="BA13" t="s">
        <v>69</v>
      </c>
      <c r="BB13" t="s">
        <v>150</v>
      </c>
      <c r="BC13" t="s">
        <v>69</v>
      </c>
      <c r="BD13">
        <v>119.119</v>
      </c>
      <c r="BE13" t="s">
        <v>69</v>
      </c>
      <c r="BF13" t="s">
        <v>69</v>
      </c>
      <c r="BG13">
        <v>307</v>
      </c>
      <c r="BH13" t="s">
        <v>76</v>
      </c>
      <c r="BI13" t="s">
        <v>69</v>
      </c>
      <c r="BJ13" t="s">
        <v>75</v>
      </c>
      <c r="BK13" t="s">
        <v>69</v>
      </c>
      <c r="BL13">
        <v>146.18899999999999</v>
      </c>
      <c r="BM13" t="s">
        <v>69</v>
      </c>
      <c r="BN13" t="s">
        <v>69</v>
      </c>
      <c r="BO13">
        <v>309</v>
      </c>
      <c r="BP13" t="s">
        <v>76</v>
      </c>
      <c r="BQ13" t="s">
        <v>69</v>
      </c>
      <c r="BR13" t="s">
        <v>75</v>
      </c>
      <c r="BS13" t="s">
        <v>69</v>
      </c>
      <c r="BT13">
        <v>146.18899999999999</v>
      </c>
      <c r="BU13" t="s">
        <v>69</v>
      </c>
      <c r="BV13" t="s">
        <v>69</v>
      </c>
      <c r="BW13">
        <v>310</v>
      </c>
      <c r="BX13" t="s">
        <v>149</v>
      </c>
      <c r="BY13" t="s">
        <v>69</v>
      </c>
      <c r="BZ13" t="s">
        <v>150</v>
      </c>
      <c r="CA13" t="s">
        <v>69</v>
      </c>
      <c r="CB13">
        <v>119.119</v>
      </c>
      <c r="CC13" t="s">
        <v>69</v>
      </c>
      <c r="CD13" t="s">
        <v>69</v>
      </c>
    </row>
    <row r="14" spans="1:82" x14ac:dyDescent="0.25">
      <c r="A14">
        <v>7</v>
      </c>
      <c r="B14" t="str">
        <f>HYPERLINK("http://www.ncbi.nlm.nih.gov/protein/CAD7669206.1","CAD7669206.1")</f>
        <v>CAD7669206.1</v>
      </c>
      <c r="C14">
        <v>27271</v>
      </c>
      <c r="D14" t="str">
        <f>HYPERLINK("http://www.ncbi.nlm.nih.gov/Taxonomy/Browser/wwwtax.cgi?mode=Info&amp;id=34880&amp;lvl=3&amp;lin=f&amp;keep=1&amp;srchmode=1&amp;unlock","34880")</f>
        <v>34880</v>
      </c>
      <c r="E14" t="s">
        <v>66</v>
      </c>
      <c r="F14" t="str">
        <f>HYPERLINK("http://www.ncbi.nlm.nih.gov/Taxonomy/Browser/wwwtax.cgi?mode=Info&amp;id=34880&amp;lvl=3&amp;lin=f&amp;keep=1&amp;srchmode=1&amp;unlock","Nyctereutes procyonoides")</f>
        <v>Nyctereutes procyonoides</v>
      </c>
      <c r="G14" t="s">
        <v>92</v>
      </c>
      <c r="H14" t="str">
        <f>HYPERLINK("http://www.ncbi.nlm.nih.gov/protein/CAD7669206.1","unnamed protein product")</f>
        <v>unnamed protein product</v>
      </c>
      <c r="I14" t="s">
        <v>267</v>
      </c>
      <c r="J14" t="s">
        <v>69</v>
      </c>
      <c r="K14">
        <v>239</v>
      </c>
      <c r="L14" t="s">
        <v>74</v>
      </c>
      <c r="M14" t="s">
        <v>69</v>
      </c>
      <c r="N14" t="s">
        <v>75</v>
      </c>
      <c r="O14" t="s">
        <v>69</v>
      </c>
      <c r="P14">
        <v>174.203</v>
      </c>
      <c r="Q14" t="s">
        <v>69</v>
      </c>
      <c r="R14" t="s">
        <v>69</v>
      </c>
      <c r="S14">
        <v>256</v>
      </c>
      <c r="T14" t="s">
        <v>149</v>
      </c>
      <c r="U14" t="s">
        <v>69</v>
      </c>
      <c r="V14" t="s">
        <v>150</v>
      </c>
      <c r="W14" t="s">
        <v>69</v>
      </c>
      <c r="X14">
        <v>119.119</v>
      </c>
      <c r="Y14" t="s">
        <v>69</v>
      </c>
      <c r="Z14" t="s">
        <v>69</v>
      </c>
      <c r="AA14">
        <v>257</v>
      </c>
      <c r="AB14" t="s">
        <v>151</v>
      </c>
      <c r="AC14" t="s">
        <v>69</v>
      </c>
      <c r="AD14" t="s">
        <v>152</v>
      </c>
      <c r="AE14" t="s">
        <v>69</v>
      </c>
      <c r="AF14">
        <v>165.19200000000001</v>
      </c>
      <c r="AG14" t="s">
        <v>69</v>
      </c>
      <c r="AH14" t="s">
        <v>69</v>
      </c>
      <c r="AI14">
        <v>258</v>
      </c>
      <c r="AJ14" t="s">
        <v>76</v>
      </c>
      <c r="AK14" t="s">
        <v>69</v>
      </c>
      <c r="AL14" t="s">
        <v>75</v>
      </c>
      <c r="AM14" t="s">
        <v>69</v>
      </c>
      <c r="AN14">
        <v>146.18899999999999</v>
      </c>
      <c r="AO14" t="s">
        <v>69</v>
      </c>
      <c r="AP14" t="s">
        <v>69</v>
      </c>
      <c r="AQ14">
        <v>305</v>
      </c>
      <c r="AR14" t="s">
        <v>74</v>
      </c>
      <c r="AS14" t="s">
        <v>69</v>
      </c>
      <c r="AT14" t="s">
        <v>75</v>
      </c>
      <c r="AU14" t="s">
        <v>69</v>
      </c>
      <c r="AV14">
        <v>174.203</v>
      </c>
      <c r="AW14" t="s">
        <v>69</v>
      </c>
      <c r="AX14" t="s">
        <v>69</v>
      </c>
      <c r="AY14">
        <v>306</v>
      </c>
      <c r="AZ14" t="s">
        <v>149</v>
      </c>
      <c r="BA14" t="s">
        <v>69</v>
      </c>
      <c r="BB14" t="s">
        <v>150</v>
      </c>
      <c r="BC14" t="s">
        <v>69</v>
      </c>
      <c r="BD14">
        <v>119.119</v>
      </c>
      <c r="BE14" t="s">
        <v>69</v>
      </c>
      <c r="BF14" t="s">
        <v>69</v>
      </c>
      <c r="BG14">
        <v>307</v>
      </c>
      <c r="BH14" t="s">
        <v>76</v>
      </c>
      <c r="BI14" t="s">
        <v>69</v>
      </c>
      <c r="BJ14" t="s">
        <v>75</v>
      </c>
      <c r="BK14" t="s">
        <v>69</v>
      </c>
      <c r="BL14">
        <v>146.18899999999999</v>
      </c>
      <c r="BM14" t="s">
        <v>69</v>
      </c>
      <c r="BN14" t="s">
        <v>69</v>
      </c>
      <c r="BO14">
        <v>309</v>
      </c>
      <c r="BP14" t="s">
        <v>76</v>
      </c>
      <c r="BQ14" t="s">
        <v>69</v>
      </c>
      <c r="BR14" t="s">
        <v>75</v>
      </c>
      <c r="BS14" t="s">
        <v>69</v>
      </c>
      <c r="BT14">
        <v>146.18899999999999</v>
      </c>
      <c r="BU14" t="s">
        <v>69</v>
      </c>
      <c r="BV14" t="s">
        <v>69</v>
      </c>
      <c r="BW14">
        <v>310</v>
      </c>
      <c r="BX14" t="s">
        <v>149</v>
      </c>
      <c r="BY14" t="s">
        <v>69</v>
      </c>
      <c r="BZ14" t="s">
        <v>150</v>
      </c>
      <c r="CA14" t="s">
        <v>69</v>
      </c>
      <c r="CB14">
        <v>119.119</v>
      </c>
      <c r="CC14" t="s">
        <v>69</v>
      </c>
      <c r="CD14" t="s">
        <v>69</v>
      </c>
    </row>
    <row r="15" spans="1:82" x14ac:dyDescent="0.25">
      <c r="A15">
        <v>7</v>
      </c>
      <c r="B15" t="str">
        <f>HYPERLINK("http://www.ncbi.nlm.nih.gov/protein/XP_030165194.1","XP_030165194.1")</f>
        <v>XP_030165194.1</v>
      </c>
      <c r="C15">
        <v>42175</v>
      </c>
      <c r="D15" t="str">
        <f>HYPERLINK("http://www.ncbi.nlm.nih.gov/Taxonomy/Browser/wwwtax.cgi?mode=Info&amp;id=61383&amp;lvl=3&amp;lin=f&amp;keep=1&amp;srchmode=1&amp;unlock","61383")</f>
        <v>61383</v>
      </c>
      <c r="E15" t="s">
        <v>66</v>
      </c>
      <c r="F15" t="str">
        <f>HYPERLINK("http://www.ncbi.nlm.nih.gov/Taxonomy/Browser/wwwtax.cgi?mode=Info&amp;id=61383&amp;lvl=3&amp;lin=f&amp;keep=1&amp;srchmode=1&amp;unlock","Lynx canadensis")</f>
        <v>Lynx canadensis</v>
      </c>
      <c r="G15" t="s">
        <v>105</v>
      </c>
      <c r="H15" t="str">
        <f>HYPERLINK("http://www.ncbi.nlm.nih.gov/protein/XP_030165194.1","mRNA export factor")</f>
        <v>mRNA export factor</v>
      </c>
      <c r="I15" t="s">
        <v>267</v>
      </c>
      <c r="J15" t="s">
        <v>69</v>
      </c>
      <c r="K15">
        <v>239</v>
      </c>
      <c r="L15" t="s">
        <v>74</v>
      </c>
      <c r="M15" t="s">
        <v>69</v>
      </c>
      <c r="N15" t="s">
        <v>75</v>
      </c>
      <c r="O15" t="s">
        <v>69</v>
      </c>
      <c r="P15">
        <v>174.203</v>
      </c>
      <c r="Q15" t="s">
        <v>69</v>
      </c>
      <c r="R15" t="s">
        <v>69</v>
      </c>
      <c r="S15">
        <v>256</v>
      </c>
      <c r="T15" t="s">
        <v>149</v>
      </c>
      <c r="U15" t="s">
        <v>69</v>
      </c>
      <c r="V15" t="s">
        <v>150</v>
      </c>
      <c r="W15" t="s">
        <v>69</v>
      </c>
      <c r="X15">
        <v>119.119</v>
      </c>
      <c r="Y15" t="s">
        <v>69</v>
      </c>
      <c r="Z15" t="s">
        <v>69</v>
      </c>
      <c r="AA15">
        <v>257</v>
      </c>
      <c r="AB15" t="s">
        <v>151</v>
      </c>
      <c r="AC15" t="s">
        <v>69</v>
      </c>
      <c r="AD15" t="s">
        <v>152</v>
      </c>
      <c r="AE15" t="s">
        <v>69</v>
      </c>
      <c r="AF15">
        <v>165.19200000000001</v>
      </c>
      <c r="AG15" t="s">
        <v>69</v>
      </c>
      <c r="AH15" t="s">
        <v>69</v>
      </c>
      <c r="AI15">
        <v>258</v>
      </c>
      <c r="AJ15" t="s">
        <v>76</v>
      </c>
      <c r="AK15" t="s">
        <v>69</v>
      </c>
      <c r="AL15" t="s">
        <v>75</v>
      </c>
      <c r="AM15" t="s">
        <v>69</v>
      </c>
      <c r="AN15">
        <v>146.18899999999999</v>
      </c>
      <c r="AO15" t="s">
        <v>69</v>
      </c>
      <c r="AP15" t="s">
        <v>69</v>
      </c>
      <c r="AQ15">
        <v>305</v>
      </c>
      <c r="AR15" t="s">
        <v>74</v>
      </c>
      <c r="AS15" t="s">
        <v>69</v>
      </c>
      <c r="AT15" t="s">
        <v>75</v>
      </c>
      <c r="AU15" t="s">
        <v>69</v>
      </c>
      <c r="AV15">
        <v>174.203</v>
      </c>
      <c r="AW15" t="s">
        <v>69</v>
      </c>
      <c r="AX15" t="s">
        <v>69</v>
      </c>
      <c r="AY15">
        <v>306</v>
      </c>
      <c r="AZ15" t="s">
        <v>149</v>
      </c>
      <c r="BA15" t="s">
        <v>69</v>
      </c>
      <c r="BB15" t="s">
        <v>150</v>
      </c>
      <c r="BC15" t="s">
        <v>69</v>
      </c>
      <c r="BD15">
        <v>119.119</v>
      </c>
      <c r="BE15" t="s">
        <v>69</v>
      </c>
      <c r="BF15" t="s">
        <v>69</v>
      </c>
      <c r="BG15">
        <v>307</v>
      </c>
      <c r="BH15" t="s">
        <v>76</v>
      </c>
      <c r="BI15" t="s">
        <v>69</v>
      </c>
      <c r="BJ15" t="s">
        <v>75</v>
      </c>
      <c r="BK15" t="s">
        <v>69</v>
      </c>
      <c r="BL15">
        <v>146.18899999999999</v>
      </c>
      <c r="BM15" t="s">
        <v>69</v>
      </c>
      <c r="BN15" t="s">
        <v>69</v>
      </c>
      <c r="BO15">
        <v>309</v>
      </c>
      <c r="BP15" t="s">
        <v>76</v>
      </c>
      <c r="BQ15" t="s">
        <v>69</v>
      </c>
      <c r="BR15" t="s">
        <v>75</v>
      </c>
      <c r="BS15" t="s">
        <v>69</v>
      </c>
      <c r="BT15">
        <v>146.18899999999999</v>
      </c>
      <c r="BU15" t="s">
        <v>69</v>
      </c>
      <c r="BV15" t="s">
        <v>69</v>
      </c>
      <c r="BW15">
        <v>310</v>
      </c>
      <c r="BX15" t="s">
        <v>149</v>
      </c>
      <c r="BY15" t="s">
        <v>69</v>
      </c>
      <c r="BZ15" t="s">
        <v>150</v>
      </c>
      <c r="CA15" t="s">
        <v>69</v>
      </c>
      <c r="CB15">
        <v>119.119</v>
      </c>
      <c r="CC15" t="s">
        <v>69</v>
      </c>
      <c r="CD15" t="s">
        <v>69</v>
      </c>
    </row>
    <row r="16" spans="1:82" x14ac:dyDescent="0.25">
      <c r="A16">
        <v>7</v>
      </c>
      <c r="B16" t="str">
        <f>HYPERLINK("http://www.ncbi.nlm.nih.gov/protein/XP_047709098.1","XP_047709098.1")</f>
        <v>XP_047709098.1</v>
      </c>
      <c r="C16">
        <v>56399</v>
      </c>
      <c r="D16" t="str">
        <f>HYPERLINK("http://www.ncbi.nlm.nih.gov/Taxonomy/Browser/wwwtax.cgi?mode=Info&amp;id=61388&amp;lvl=3&amp;lin=f&amp;keep=1&amp;srchmode=1&amp;unlock","61388")</f>
        <v>61388</v>
      </c>
      <c r="E16" t="s">
        <v>66</v>
      </c>
      <c r="F16" t="str">
        <f>HYPERLINK("http://www.ncbi.nlm.nih.gov/Taxonomy/Browser/wwwtax.cgi?mode=Info&amp;id=61388&amp;lvl=3&amp;lin=f&amp;keep=1&amp;srchmode=1&amp;unlock","Prionailurus viverrinus")</f>
        <v>Prionailurus viverrinus</v>
      </c>
      <c r="G16" t="s">
        <v>94</v>
      </c>
      <c r="H16" t="str">
        <f>HYPERLINK("http://www.ncbi.nlm.nih.gov/protein/XP_047709098.1","mRNA export factor")</f>
        <v>mRNA export factor</v>
      </c>
      <c r="I16" t="s">
        <v>267</v>
      </c>
      <c r="J16" t="s">
        <v>69</v>
      </c>
      <c r="K16">
        <v>239</v>
      </c>
      <c r="L16" t="s">
        <v>74</v>
      </c>
      <c r="M16" t="s">
        <v>69</v>
      </c>
      <c r="N16" t="s">
        <v>75</v>
      </c>
      <c r="O16" t="s">
        <v>69</v>
      </c>
      <c r="P16">
        <v>174.203</v>
      </c>
      <c r="Q16" t="s">
        <v>69</v>
      </c>
      <c r="R16" t="s">
        <v>69</v>
      </c>
      <c r="S16">
        <v>256</v>
      </c>
      <c r="T16" t="s">
        <v>149</v>
      </c>
      <c r="U16" t="s">
        <v>69</v>
      </c>
      <c r="V16" t="s">
        <v>150</v>
      </c>
      <c r="W16" t="s">
        <v>69</v>
      </c>
      <c r="X16">
        <v>119.119</v>
      </c>
      <c r="Y16" t="s">
        <v>69</v>
      </c>
      <c r="Z16" t="s">
        <v>69</v>
      </c>
      <c r="AA16">
        <v>257</v>
      </c>
      <c r="AB16" t="s">
        <v>151</v>
      </c>
      <c r="AC16" t="s">
        <v>69</v>
      </c>
      <c r="AD16" t="s">
        <v>152</v>
      </c>
      <c r="AE16" t="s">
        <v>69</v>
      </c>
      <c r="AF16">
        <v>165.19200000000001</v>
      </c>
      <c r="AG16" t="s">
        <v>69</v>
      </c>
      <c r="AH16" t="s">
        <v>69</v>
      </c>
      <c r="AI16">
        <v>258</v>
      </c>
      <c r="AJ16" t="s">
        <v>76</v>
      </c>
      <c r="AK16" t="s">
        <v>69</v>
      </c>
      <c r="AL16" t="s">
        <v>75</v>
      </c>
      <c r="AM16" t="s">
        <v>69</v>
      </c>
      <c r="AN16">
        <v>146.18899999999999</v>
      </c>
      <c r="AO16" t="s">
        <v>69</v>
      </c>
      <c r="AP16" t="s">
        <v>69</v>
      </c>
      <c r="AQ16">
        <v>305</v>
      </c>
      <c r="AR16" t="s">
        <v>74</v>
      </c>
      <c r="AS16" t="s">
        <v>69</v>
      </c>
      <c r="AT16" t="s">
        <v>75</v>
      </c>
      <c r="AU16" t="s">
        <v>69</v>
      </c>
      <c r="AV16">
        <v>174.203</v>
      </c>
      <c r="AW16" t="s">
        <v>69</v>
      </c>
      <c r="AX16" t="s">
        <v>69</v>
      </c>
      <c r="AY16">
        <v>306</v>
      </c>
      <c r="AZ16" t="s">
        <v>149</v>
      </c>
      <c r="BA16" t="s">
        <v>69</v>
      </c>
      <c r="BB16" t="s">
        <v>150</v>
      </c>
      <c r="BC16" t="s">
        <v>69</v>
      </c>
      <c r="BD16">
        <v>119.119</v>
      </c>
      <c r="BE16" t="s">
        <v>69</v>
      </c>
      <c r="BF16" t="s">
        <v>69</v>
      </c>
      <c r="BG16">
        <v>307</v>
      </c>
      <c r="BH16" t="s">
        <v>76</v>
      </c>
      <c r="BI16" t="s">
        <v>69</v>
      </c>
      <c r="BJ16" t="s">
        <v>75</v>
      </c>
      <c r="BK16" t="s">
        <v>69</v>
      </c>
      <c r="BL16">
        <v>146.18899999999999</v>
      </c>
      <c r="BM16" t="s">
        <v>69</v>
      </c>
      <c r="BN16" t="s">
        <v>69</v>
      </c>
      <c r="BO16">
        <v>309</v>
      </c>
      <c r="BP16" t="s">
        <v>76</v>
      </c>
      <c r="BQ16" t="s">
        <v>69</v>
      </c>
      <c r="BR16" t="s">
        <v>75</v>
      </c>
      <c r="BS16" t="s">
        <v>69</v>
      </c>
      <c r="BT16">
        <v>146.18899999999999</v>
      </c>
      <c r="BU16" t="s">
        <v>69</v>
      </c>
      <c r="BV16" t="s">
        <v>69</v>
      </c>
      <c r="BW16">
        <v>310</v>
      </c>
      <c r="BX16" t="s">
        <v>149</v>
      </c>
      <c r="BY16" t="s">
        <v>69</v>
      </c>
      <c r="BZ16" t="s">
        <v>150</v>
      </c>
      <c r="CA16" t="s">
        <v>69</v>
      </c>
      <c r="CB16">
        <v>119.119</v>
      </c>
      <c r="CC16" t="s">
        <v>69</v>
      </c>
      <c r="CD16" t="s">
        <v>69</v>
      </c>
    </row>
    <row r="17" spans="1:82" x14ac:dyDescent="0.25">
      <c r="A17">
        <v>7</v>
      </c>
      <c r="B17" t="str">
        <f>HYPERLINK("http://www.ncbi.nlm.nih.gov/protein/XP_005635264.1","XP_005635264.1")</f>
        <v>XP_005635264.1</v>
      </c>
      <c r="C17">
        <v>136357</v>
      </c>
      <c r="D17" t="str">
        <f>HYPERLINK("http://www.ncbi.nlm.nih.gov/Taxonomy/Browser/wwwtax.cgi?mode=Info&amp;id=9615&amp;lvl=3&amp;lin=f&amp;keep=1&amp;srchmode=1&amp;unlock","9615")</f>
        <v>9615</v>
      </c>
      <c r="E17" t="s">
        <v>66</v>
      </c>
      <c r="F17" t="str">
        <f>HYPERLINK("http://www.ncbi.nlm.nih.gov/Taxonomy/Browser/wwwtax.cgi?mode=Info&amp;id=9615&amp;lvl=3&amp;lin=f&amp;keep=1&amp;srchmode=1&amp;unlock","Canis lupus familiaris")</f>
        <v>Canis lupus familiaris</v>
      </c>
      <c r="G17" t="s">
        <v>84</v>
      </c>
      <c r="H17" t="str">
        <f>HYPERLINK("http://www.ncbi.nlm.nih.gov/protein/XP_005635264.1","mRNA export factor isoform X1")</f>
        <v>mRNA export factor isoform X1</v>
      </c>
      <c r="I17" t="s">
        <v>267</v>
      </c>
      <c r="J17" t="s">
        <v>69</v>
      </c>
      <c r="K17">
        <v>239</v>
      </c>
      <c r="L17" t="s">
        <v>74</v>
      </c>
      <c r="M17" t="s">
        <v>69</v>
      </c>
      <c r="N17" t="s">
        <v>75</v>
      </c>
      <c r="O17" t="s">
        <v>69</v>
      </c>
      <c r="P17">
        <v>174.203</v>
      </c>
      <c r="Q17" t="s">
        <v>69</v>
      </c>
      <c r="R17" t="s">
        <v>69</v>
      </c>
      <c r="S17">
        <v>256</v>
      </c>
      <c r="T17" t="s">
        <v>149</v>
      </c>
      <c r="U17" t="s">
        <v>69</v>
      </c>
      <c r="V17" t="s">
        <v>150</v>
      </c>
      <c r="W17" t="s">
        <v>69</v>
      </c>
      <c r="X17">
        <v>119.119</v>
      </c>
      <c r="Y17" t="s">
        <v>69</v>
      </c>
      <c r="Z17" t="s">
        <v>69</v>
      </c>
      <c r="AA17">
        <v>257</v>
      </c>
      <c r="AB17" t="s">
        <v>151</v>
      </c>
      <c r="AC17" t="s">
        <v>69</v>
      </c>
      <c r="AD17" t="s">
        <v>152</v>
      </c>
      <c r="AE17" t="s">
        <v>69</v>
      </c>
      <c r="AF17">
        <v>165.19200000000001</v>
      </c>
      <c r="AG17" t="s">
        <v>69</v>
      </c>
      <c r="AH17" t="s">
        <v>69</v>
      </c>
      <c r="AI17">
        <v>258</v>
      </c>
      <c r="AJ17" t="s">
        <v>76</v>
      </c>
      <c r="AK17" t="s">
        <v>69</v>
      </c>
      <c r="AL17" t="s">
        <v>75</v>
      </c>
      <c r="AM17" t="s">
        <v>69</v>
      </c>
      <c r="AN17">
        <v>146.18899999999999</v>
      </c>
      <c r="AO17" t="s">
        <v>69</v>
      </c>
      <c r="AP17" t="s">
        <v>69</v>
      </c>
      <c r="AQ17">
        <v>305</v>
      </c>
      <c r="AR17" t="s">
        <v>74</v>
      </c>
      <c r="AS17" t="s">
        <v>69</v>
      </c>
      <c r="AT17" t="s">
        <v>75</v>
      </c>
      <c r="AU17" t="s">
        <v>69</v>
      </c>
      <c r="AV17">
        <v>174.203</v>
      </c>
      <c r="AW17" t="s">
        <v>69</v>
      </c>
      <c r="AX17" t="s">
        <v>69</v>
      </c>
      <c r="AY17">
        <v>306</v>
      </c>
      <c r="AZ17" t="s">
        <v>149</v>
      </c>
      <c r="BA17" t="s">
        <v>69</v>
      </c>
      <c r="BB17" t="s">
        <v>150</v>
      </c>
      <c r="BC17" t="s">
        <v>69</v>
      </c>
      <c r="BD17">
        <v>119.119</v>
      </c>
      <c r="BE17" t="s">
        <v>69</v>
      </c>
      <c r="BF17" t="s">
        <v>69</v>
      </c>
      <c r="BG17">
        <v>307</v>
      </c>
      <c r="BH17" t="s">
        <v>76</v>
      </c>
      <c r="BI17" t="s">
        <v>69</v>
      </c>
      <c r="BJ17" t="s">
        <v>75</v>
      </c>
      <c r="BK17" t="s">
        <v>69</v>
      </c>
      <c r="BL17">
        <v>146.18899999999999</v>
      </c>
      <c r="BM17" t="s">
        <v>69</v>
      </c>
      <c r="BN17" t="s">
        <v>69</v>
      </c>
      <c r="BO17">
        <v>309</v>
      </c>
      <c r="BP17" t="s">
        <v>76</v>
      </c>
      <c r="BQ17" t="s">
        <v>69</v>
      </c>
      <c r="BR17" t="s">
        <v>75</v>
      </c>
      <c r="BS17" t="s">
        <v>69</v>
      </c>
      <c r="BT17">
        <v>146.18899999999999</v>
      </c>
      <c r="BU17" t="s">
        <v>69</v>
      </c>
      <c r="BV17" t="s">
        <v>69</v>
      </c>
      <c r="BW17">
        <v>310</v>
      </c>
      <c r="BX17" t="s">
        <v>149</v>
      </c>
      <c r="BY17" t="s">
        <v>69</v>
      </c>
      <c r="BZ17" t="s">
        <v>150</v>
      </c>
      <c r="CA17" t="s">
        <v>69</v>
      </c>
      <c r="CB17">
        <v>119.119</v>
      </c>
      <c r="CC17" t="s">
        <v>69</v>
      </c>
      <c r="CD17" t="s">
        <v>69</v>
      </c>
    </row>
    <row r="18" spans="1:82" x14ac:dyDescent="0.25">
      <c r="A18">
        <v>7</v>
      </c>
      <c r="B18" t="str">
        <f>HYPERLINK("http://www.ncbi.nlm.nih.gov/protein/XP_025870846.1","XP_025870846.1")</f>
        <v>XP_025870846.1</v>
      </c>
      <c r="C18">
        <v>38435</v>
      </c>
      <c r="D18" t="str">
        <f>HYPERLINK("http://www.ncbi.nlm.nih.gov/Taxonomy/Browser/wwwtax.cgi?mode=Info&amp;id=9627&amp;lvl=3&amp;lin=f&amp;keep=1&amp;srchmode=1&amp;unlock","9627")</f>
        <v>9627</v>
      </c>
      <c r="E18" t="s">
        <v>66</v>
      </c>
      <c r="F18" t="str">
        <f>HYPERLINK("http://www.ncbi.nlm.nih.gov/Taxonomy/Browser/wwwtax.cgi?mode=Info&amp;id=9627&amp;lvl=3&amp;lin=f&amp;keep=1&amp;srchmode=1&amp;unlock","Vulpes vulpes")</f>
        <v>Vulpes vulpes</v>
      </c>
      <c r="G18" t="s">
        <v>95</v>
      </c>
      <c r="H18" t="str">
        <f>HYPERLINK("http://www.ncbi.nlm.nih.gov/protein/XP_025870846.1","mRNA export factor")</f>
        <v>mRNA export factor</v>
      </c>
      <c r="I18" t="s">
        <v>267</v>
      </c>
      <c r="J18" t="s">
        <v>69</v>
      </c>
      <c r="K18">
        <v>239</v>
      </c>
      <c r="L18" t="s">
        <v>74</v>
      </c>
      <c r="M18" t="s">
        <v>69</v>
      </c>
      <c r="N18" t="s">
        <v>75</v>
      </c>
      <c r="O18" t="s">
        <v>69</v>
      </c>
      <c r="P18">
        <v>174.203</v>
      </c>
      <c r="Q18" t="s">
        <v>69</v>
      </c>
      <c r="R18" t="s">
        <v>69</v>
      </c>
      <c r="S18">
        <v>256</v>
      </c>
      <c r="T18" t="s">
        <v>149</v>
      </c>
      <c r="U18" t="s">
        <v>69</v>
      </c>
      <c r="V18" t="s">
        <v>150</v>
      </c>
      <c r="W18" t="s">
        <v>69</v>
      </c>
      <c r="X18">
        <v>119.119</v>
      </c>
      <c r="Y18" t="s">
        <v>69</v>
      </c>
      <c r="Z18" t="s">
        <v>69</v>
      </c>
      <c r="AA18">
        <v>257</v>
      </c>
      <c r="AB18" t="s">
        <v>151</v>
      </c>
      <c r="AC18" t="s">
        <v>69</v>
      </c>
      <c r="AD18" t="s">
        <v>152</v>
      </c>
      <c r="AE18" t="s">
        <v>69</v>
      </c>
      <c r="AF18">
        <v>165.19200000000001</v>
      </c>
      <c r="AG18" t="s">
        <v>69</v>
      </c>
      <c r="AH18" t="s">
        <v>69</v>
      </c>
      <c r="AI18">
        <v>258</v>
      </c>
      <c r="AJ18" t="s">
        <v>76</v>
      </c>
      <c r="AK18" t="s">
        <v>69</v>
      </c>
      <c r="AL18" t="s">
        <v>75</v>
      </c>
      <c r="AM18" t="s">
        <v>69</v>
      </c>
      <c r="AN18">
        <v>146.18899999999999</v>
      </c>
      <c r="AO18" t="s">
        <v>69</v>
      </c>
      <c r="AP18" t="s">
        <v>69</v>
      </c>
      <c r="AQ18">
        <v>305</v>
      </c>
      <c r="AR18" t="s">
        <v>74</v>
      </c>
      <c r="AS18" t="s">
        <v>69</v>
      </c>
      <c r="AT18" t="s">
        <v>75</v>
      </c>
      <c r="AU18" t="s">
        <v>69</v>
      </c>
      <c r="AV18">
        <v>174.203</v>
      </c>
      <c r="AW18" t="s">
        <v>69</v>
      </c>
      <c r="AX18" t="s">
        <v>69</v>
      </c>
      <c r="AY18">
        <v>306</v>
      </c>
      <c r="AZ18" t="s">
        <v>149</v>
      </c>
      <c r="BA18" t="s">
        <v>69</v>
      </c>
      <c r="BB18" t="s">
        <v>150</v>
      </c>
      <c r="BC18" t="s">
        <v>69</v>
      </c>
      <c r="BD18">
        <v>119.119</v>
      </c>
      <c r="BE18" t="s">
        <v>69</v>
      </c>
      <c r="BF18" t="s">
        <v>69</v>
      </c>
      <c r="BG18">
        <v>307</v>
      </c>
      <c r="BH18" t="s">
        <v>76</v>
      </c>
      <c r="BI18" t="s">
        <v>69</v>
      </c>
      <c r="BJ18" t="s">
        <v>75</v>
      </c>
      <c r="BK18" t="s">
        <v>69</v>
      </c>
      <c r="BL18">
        <v>146.18899999999999</v>
      </c>
      <c r="BM18" t="s">
        <v>69</v>
      </c>
      <c r="BN18" t="s">
        <v>69</v>
      </c>
      <c r="BO18">
        <v>309</v>
      </c>
      <c r="BP18" t="s">
        <v>76</v>
      </c>
      <c r="BQ18" t="s">
        <v>69</v>
      </c>
      <c r="BR18" t="s">
        <v>75</v>
      </c>
      <c r="BS18" t="s">
        <v>69</v>
      </c>
      <c r="BT18">
        <v>146.18899999999999</v>
      </c>
      <c r="BU18" t="s">
        <v>69</v>
      </c>
      <c r="BV18" t="s">
        <v>69</v>
      </c>
      <c r="BW18">
        <v>310</v>
      </c>
      <c r="BX18" t="s">
        <v>149</v>
      </c>
      <c r="BY18" t="s">
        <v>69</v>
      </c>
      <c r="BZ18" t="s">
        <v>150</v>
      </c>
      <c r="CA18" t="s">
        <v>69</v>
      </c>
      <c r="CB18">
        <v>119.119</v>
      </c>
      <c r="CC18" t="s">
        <v>69</v>
      </c>
      <c r="CD18" t="s">
        <v>69</v>
      </c>
    </row>
    <row r="19" spans="1:82" x14ac:dyDescent="0.25">
      <c r="A19">
        <v>7</v>
      </c>
      <c r="B19" t="str">
        <f>HYPERLINK("http://www.ncbi.nlm.nih.gov/protein/XP_046924736.1","XP_046924736.1")</f>
        <v>XP_046924736.1</v>
      </c>
      <c r="C19">
        <v>38764</v>
      </c>
      <c r="D19" t="str">
        <f>HYPERLINK("http://www.ncbi.nlm.nih.gov/Taxonomy/Browser/wwwtax.cgi?mode=Info&amp;id=61384&amp;lvl=3&amp;lin=f&amp;keep=1&amp;srchmode=1&amp;unlock","61384")</f>
        <v>61384</v>
      </c>
      <c r="E19" t="s">
        <v>66</v>
      </c>
      <c r="F19" t="str">
        <f>HYPERLINK("http://www.ncbi.nlm.nih.gov/Taxonomy/Browser/wwwtax.cgi?mode=Info&amp;id=61384&amp;lvl=3&amp;lin=f&amp;keep=1&amp;srchmode=1&amp;unlock","Lynx rufus")</f>
        <v>Lynx rufus</v>
      </c>
      <c r="G19" t="s">
        <v>93</v>
      </c>
      <c r="H19" t="str">
        <f>HYPERLINK("http://www.ncbi.nlm.nih.gov/protein/XP_046924736.1","mRNA export factor")</f>
        <v>mRNA export factor</v>
      </c>
      <c r="I19" t="s">
        <v>267</v>
      </c>
      <c r="J19" t="s">
        <v>69</v>
      </c>
      <c r="K19">
        <v>239</v>
      </c>
      <c r="L19" t="s">
        <v>74</v>
      </c>
      <c r="M19" t="s">
        <v>69</v>
      </c>
      <c r="N19" t="s">
        <v>75</v>
      </c>
      <c r="O19" t="s">
        <v>69</v>
      </c>
      <c r="P19">
        <v>174.203</v>
      </c>
      <c r="Q19" t="s">
        <v>69</v>
      </c>
      <c r="R19" t="s">
        <v>69</v>
      </c>
      <c r="S19">
        <v>256</v>
      </c>
      <c r="T19" t="s">
        <v>149</v>
      </c>
      <c r="U19" t="s">
        <v>69</v>
      </c>
      <c r="V19" t="s">
        <v>150</v>
      </c>
      <c r="W19" t="s">
        <v>69</v>
      </c>
      <c r="X19">
        <v>119.119</v>
      </c>
      <c r="Y19" t="s">
        <v>69</v>
      </c>
      <c r="Z19" t="s">
        <v>69</v>
      </c>
      <c r="AA19">
        <v>257</v>
      </c>
      <c r="AB19" t="s">
        <v>151</v>
      </c>
      <c r="AC19" t="s">
        <v>69</v>
      </c>
      <c r="AD19" t="s">
        <v>152</v>
      </c>
      <c r="AE19" t="s">
        <v>69</v>
      </c>
      <c r="AF19">
        <v>165.19200000000001</v>
      </c>
      <c r="AG19" t="s">
        <v>69</v>
      </c>
      <c r="AH19" t="s">
        <v>69</v>
      </c>
      <c r="AI19">
        <v>258</v>
      </c>
      <c r="AJ19" t="s">
        <v>76</v>
      </c>
      <c r="AK19" t="s">
        <v>69</v>
      </c>
      <c r="AL19" t="s">
        <v>75</v>
      </c>
      <c r="AM19" t="s">
        <v>69</v>
      </c>
      <c r="AN19">
        <v>146.18899999999999</v>
      </c>
      <c r="AO19" t="s">
        <v>69</v>
      </c>
      <c r="AP19" t="s">
        <v>69</v>
      </c>
      <c r="AQ19">
        <v>305</v>
      </c>
      <c r="AR19" t="s">
        <v>74</v>
      </c>
      <c r="AS19" t="s">
        <v>69</v>
      </c>
      <c r="AT19" t="s">
        <v>75</v>
      </c>
      <c r="AU19" t="s">
        <v>69</v>
      </c>
      <c r="AV19">
        <v>174.203</v>
      </c>
      <c r="AW19" t="s">
        <v>69</v>
      </c>
      <c r="AX19" t="s">
        <v>69</v>
      </c>
      <c r="AY19">
        <v>306</v>
      </c>
      <c r="AZ19" t="s">
        <v>149</v>
      </c>
      <c r="BA19" t="s">
        <v>69</v>
      </c>
      <c r="BB19" t="s">
        <v>150</v>
      </c>
      <c r="BC19" t="s">
        <v>69</v>
      </c>
      <c r="BD19">
        <v>119.119</v>
      </c>
      <c r="BE19" t="s">
        <v>69</v>
      </c>
      <c r="BF19" t="s">
        <v>69</v>
      </c>
      <c r="BG19">
        <v>307</v>
      </c>
      <c r="BH19" t="s">
        <v>76</v>
      </c>
      <c r="BI19" t="s">
        <v>69</v>
      </c>
      <c r="BJ19" t="s">
        <v>75</v>
      </c>
      <c r="BK19" t="s">
        <v>69</v>
      </c>
      <c r="BL19">
        <v>146.18899999999999</v>
      </c>
      <c r="BM19" t="s">
        <v>69</v>
      </c>
      <c r="BN19" t="s">
        <v>69</v>
      </c>
      <c r="BO19">
        <v>309</v>
      </c>
      <c r="BP19" t="s">
        <v>76</v>
      </c>
      <c r="BQ19" t="s">
        <v>69</v>
      </c>
      <c r="BR19" t="s">
        <v>75</v>
      </c>
      <c r="BS19" t="s">
        <v>69</v>
      </c>
      <c r="BT19">
        <v>146.18899999999999</v>
      </c>
      <c r="BU19" t="s">
        <v>69</v>
      </c>
      <c r="BV19" t="s">
        <v>69</v>
      </c>
      <c r="BW19">
        <v>310</v>
      </c>
      <c r="BX19" t="s">
        <v>149</v>
      </c>
      <c r="BY19" t="s">
        <v>69</v>
      </c>
      <c r="BZ19" t="s">
        <v>150</v>
      </c>
      <c r="CA19" t="s">
        <v>69</v>
      </c>
      <c r="CB19">
        <v>119.119</v>
      </c>
      <c r="CC19" t="s">
        <v>69</v>
      </c>
      <c r="CD19" t="s">
        <v>69</v>
      </c>
    </row>
    <row r="20" spans="1:82" x14ac:dyDescent="0.25">
      <c r="A20">
        <v>7</v>
      </c>
      <c r="B20" t="str">
        <f>HYPERLINK("http://www.ncbi.nlm.nih.gov/protein/XP_004759963.1","XP_004759963.1")</f>
        <v>XP_004759963.1</v>
      </c>
      <c r="C20">
        <v>58003</v>
      </c>
      <c r="D20" t="str">
        <f>HYPERLINK("http://www.ncbi.nlm.nih.gov/Taxonomy/Browser/wwwtax.cgi?mode=Info&amp;id=9669&amp;lvl=3&amp;lin=f&amp;keep=1&amp;srchmode=1&amp;unlock","9669")</f>
        <v>9669</v>
      </c>
      <c r="E20" t="s">
        <v>66</v>
      </c>
      <c r="F20" t="str">
        <f>HYPERLINK("http://www.ncbi.nlm.nih.gov/Taxonomy/Browser/wwwtax.cgi?mode=Info&amp;id=9669&amp;lvl=3&amp;lin=f&amp;keep=1&amp;srchmode=1&amp;unlock","Mustela putorius furo")</f>
        <v>Mustela putorius furo</v>
      </c>
      <c r="G20" t="s">
        <v>98</v>
      </c>
      <c r="H20" t="str">
        <f>HYPERLINK("http://www.ncbi.nlm.nih.gov/protein/XP_004759963.1","mRNA export factor isoform X2")</f>
        <v>mRNA export factor isoform X2</v>
      </c>
      <c r="I20" t="s">
        <v>267</v>
      </c>
      <c r="J20" t="s">
        <v>69</v>
      </c>
      <c r="K20">
        <v>247</v>
      </c>
      <c r="L20" t="s">
        <v>74</v>
      </c>
      <c r="M20" t="s">
        <v>69</v>
      </c>
      <c r="N20" t="s">
        <v>75</v>
      </c>
      <c r="O20" t="s">
        <v>69</v>
      </c>
      <c r="P20">
        <v>174.203</v>
      </c>
      <c r="Q20" t="s">
        <v>69</v>
      </c>
      <c r="R20" t="s">
        <v>69</v>
      </c>
      <c r="S20">
        <v>264</v>
      </c>
      <c r="T20" t="s">
        <v>149</v>
      </c>
      <c r="U20" t="s">
        <v>69</v>
      </c>
      <c r="V20" t="s">
        <v>150</v>
      </c>
      <c r="W20" t="s">
        <v>69</v>
      </c>
      <c r="X20">
        <v>119.119</v>
      </c>
      <c r="Y20" t="s">
        <v>69</v>
      </c>
      <c r="Z20" t="s">
        <v>69</v>
      </c>
      <c r="AA20">
        <v>265</v>
      </c>
      <c r="AB20" t="s">
        <v>151</v>
      </c>
      <c r="AC20" t="s">
        <v>69</v>
      </c>
      <c r="AD20" t="s">
        <v>152</v>
      </c>
      <c r="AE20" t="s">
        <v>69</v>
      </c>
      <c r="AF20">
        <v>165.19200000000001</v>
      </c>
      <c r="AG20" t="s">
        <v>69</v>
      </c>
      <c r="AH20" t="s">
        <v>69</v>
      </c>
      <c r="AI20">
        <v>266</v>
      </c>
      <c r="AJ20" t="s">
        <v>76</v>
      </c>
      <c r="AK20" t="s">
        <v>69</v>
      </c>
      <c r="AL20" t="s">
        <v>75</v>
      </c>
      <c r="AM20" t="s">
        <v>69</v>
      </c>
      <c r="AN20">
        <v>146.18899999999999</v>
      </c>
      <c r="AO20" t="s">
        <v>69</v>
      </c>
      <c r="AP20" t="s">
        <v>69</v>
      </c>
      <c r="AQ20">
        <v>313</v>
      </c>
      <c r="AR20" t="s">
        <v>74</v>
      </c>
      <c r="AS20" t="s">
        <v>69</v>
      </c>
      <c r="AT20" t="s">
        <v>75</v>
      </c>
      <c r="AU20" t="s">
        <v>69</v>
      </c>
      <c r="AV20">
        <v>174.203</v>
      </c>
      <c r="AW20" t="s">
        <v>69</v>
      </c>
      <c r="AX20" t="s">
        <v>69</v>
      </c>
      <c r="AY20">
        <v>314</v>
      </c>
      <c r="AZ20" t="s">
        <v>149</v>
      </c>
      <c r="BA20" t="s">
        <v>69</v>
      </c>
      <c r="BB20" t="s">
        <v>150</v>
      </c>
      <c r="BC20" t="s">
        <v>69</v>
      </c>
      <c r="BD20">
        <v>119.119</v>
      </c>
      <c r="BE20" t="s">
        <v>69</v>
      </c>
      <c r="BF20" t="s">
        <v>69</v>
      </c>
      <c r="BG20">
        <v>315</v>
      </c>
      <c r="BH20" t="s">
        <v>76</v>
      </c>
      <c r="BI20" t="s">
        <v>69</v>
      </c>
      <c r="BJ20" t="s">
        <v>75</v>
      </c>
      <c r="BK20" t="s">
        <v>69</v>
      </c>
      <c r="BL20">
        <v>146.18899999999999</v>
      </c>
      <c r="BM20" t="s">
        <v>69</v>
      </c>
      <c r="BN20" t="s">
        <v>69</v>
      </c>
      <c r="BO20">
        <v>317</v>
      </c>
      <c r="BP20" t="s">
        <v>76</v>
      </c>
      <c r="BQ20" t="s">
        <v>69</v>
      </c>
      <c r="BR20" t="s">
        <v>75</v>
      </c>
      <c r="BS20" t="s">
        <v>69</v>
      </c>
      <c r="BT20">
        <v>146.18899999999999</v>
      </c>
      <c r="BU20" t="s">
        <v>69</v>
      </c>
      <c r="BV20" t="s">
        <v>69</v>
      </c>
      <c r="BW20">
        <v>318</v>
      </c>
      <c r="BX20" t="s">
        <v>149</v>
      </c>
      <c r="BY20" t="s">
        <v>69</v>
      </c>
      <c r="BZ20" t="s">
        <v>150</v>
      </c>
      <c r="CA20" t="s">
        <v>69</v>
      </c>
      <c r="CB20">
        <v>119.119</v>
      </c>
      <c r="CC20" t="s">
        <v>69</v>
      </c>
      <c r="CD20" t="s">
        <v>69</v>
      </c>
    </row>
    <row r="21" spans="1:82" x14ac:dyDescent="0.25">
      <c r="A21">
        <v>7</v>
      </c>
      <c r="B21" t="str">
        <f>HYPERLINK("http://www.ncbi.nlm.nih.gov/protein/XP_045837079.1","XP_045837079.1")</f>
        <v>XP_045837079.1</v>
      </c>
      <c r="C21">
        <v>50752</v>
      </c>
      <c r="D21" t="str">
        <f>HYPERLINK("http://www.ncbi.nlm.nih.gov/Taxonomy/Browser/wwwtax.cgi?mode=Info&amp;id=9662&amp;lvl=3&amp;lin=f&amp;keep=1&amp;srchmode=1&amp;unlock","9662")</f>
        <v>9662</v>
      </c>
      <c r="E21" t="s">
        <v>66</v>
      </c>
      <c r="F21" t="str">
        <f>HYPERLINK("http://www.ncbi.nlm.nih.gov/Taxonomy/Browser/wwwtax.cgi?mode=Info&amp;id=9662&amp;lvl=3&amp;lin=f&amp;keep=1&amp;srchmode=1&amp;unlock","Meles meles")</f>
        <v>Meles meles</v>
      </c>
      <c r="G21" t="s">
        <v>99</v>
      </c>
      <c r="H21" t="str">
        <f>HYPERLINK("http://www.ncbi.nlm.nih.gov/protein/XP_045837079.1","mRNA export factor")</f>
        <v>mRNA export factor</v>
      </c>
      <c r="I21" t="s">
        <v>267</v>
      </c>
      <c r="J21" t="s">
        <v>69</v>
      </c>
      <c r="K21">
        <v>239</v>
      </c>
      <c r="L21" t="s">
        <v>74</v>
      </c>
      <c r="M21" t="s">
        <v>69</v>
      </c>
      <c r="N21" t="s">
        <v>75</v>
      </c>
      <c r="O21" t="s">
        <v>69</v>
      </c>
      <c r="P21">
        <v>174.203</v>
      </c>
      <c r="Q21" t="s">
        <v>69</v>
      </c>
      <c r="R21" t="s">
        <v>69</v>
      </c>
      <c r="S21">
        <v>256</v>
      </c>
      <c r="T21" t="s">
        <v>149</v>
      </c>
      <c r="U21" t="s">
        <v>69</v>
      </c>
      <c r="V21" t="s">
        <v>150</v>
      </c>
      <c r="W21" t="s">
        <v>69</v>
      </c>
      <c r="X21">
        <v>119.119</v>
      </c>
      <c r="Y21" t="s">
        <v>69</v>
      </c>
      <c r="Z21" t="s">
        <v>69</v>
      </c>
      <c r="AA21">
        <v>257</v>
      </c>
      <c r="AB21" t="s">
        <v>151</v>
      </c>
      <c r="AC21" t="s">
        <v>69</v>
      </c>
      <c r="AD21" t="s">
        <v>152</v>
      </c>
      <c r="AE21" t="s">
        <v>69</v>
      </c>
      <c r="AF21">
        <v>165.19200000000001</v>
      </c>
      <c r="AG21" t="s">
        <v>69</v>
      </c>
      <c r="AH21" t="s">
        <v>69</v>
      </c>
      <c r="AI21">
        <v>258</v>
      </c>
      <c r="AJ21" t="s">
        <v>76</v>
      </c>
      <c r="AK21" t="s">
        <v>69</v>
      </c>
      <c r="AL21" t="s">
        <v>75</v>
      </c>
      <c r="AM21" t="s">
        <v>69</v>
      </c>
      <c r="AN21">
        <v>146.18899999999999</v>
      </c>
      <c r="AO21" t="s">
        <v>69</v>
      </c>
      <c r="AP21" t="s">
        <v>69</v>
      </c>
      <c r="AQ21">
        <v>305</v>
      </c>
      <c r="AR21" t="s">
        <v>74</v>
      </c>
      <c r="AS21" t="s">
        <v>69</v>
      </c>
      <c r="AT21" t="s">
        <v>75</v>
      </c>
      <c r="AU21" t="s">
        <v>69</v>
      </c>
      <c r="AV21">
        <v>174.203</v>
      </c>
      <c r="AW21" t="s">
        <v>69</v>
      </c>
      <c r="AX21" t="s">
        <v>69</v>
      </c>
      <c r="AY21">
        <v>306</v>
      </c>
      <c r="AZ21" t="s">
        <v>149</v>
      </c>
      <c r="BA21" t="s">
        <v>69</v>
      </c>
      <c r="BB21" t="s">
        <v>150</v>
      </c>
      <c r="BC21" t="s">
        <v>69</v>
      </c>
      <c r="BD21">
        <v>119.119</v>
      </c>
      <c r="BE21" t="s">
        <v>69</v>
      </c>
      <c r="BF21" t="s">
        <v>69</v>
      </c>
      <c r="BG21">
        <v>307</v>
      </c>
      <c r="BH21" t="s">
        <v>76</v>
      </c>
      <c r="BI21" t="s">
        <v>69</v>
      </c>
      <c r="BJ21" t="s">
        <v>75</v>
      </c>
      <c r="BK21" t="s">
        <v>69</v>
      </c>
      <c r="BL21">
        <v>146.18899999999999</v>
      </c>
      <c r="BM21" t="s">
        <v>69</v>
      </c>
      <c r="BN21" t="s">
        <v>69</v>
      </c>
      <c r="BO21">
        <v>309</v>
      </c>
      <c r="BP21" t="s">
        <v>76</v>
      </c>
      <c r="BQ21" t="s">
        <v>69</v>
      </c>
      <c r="BR21" t="s">
        <v>75</v>
      </c>
      <c r="BS21" t="s">
        <v>69</v>
      </c>
      <c r="BT21">
        <v>146.18899999999999</v>
      </c>
      <c r="BU21" t="s">
        <v>69</v>
      </c>
      <c r="BV21" t="s">
        <v>69</v>
      </c>
      <c r="BW21">
        <v>310</v>
      </c>
      <c r="BX21" t="s">
        <v>149</v>
      </c>
      <c r="BY21" t="s">
        <v>69</v>
      </c>
      <c r="BZ21" t="s">
        <v>150</v>
      </c>
      <c r="CA21" t="s">
        <v>69</v>
      </c>
      <c r="CB21">
        <v>119.119</v>
      </c>
      <c r="CC21" t="s">
        <v>69</v>
      </c>
      <c r="CD21" t="s">
        <v>69</v>
      </c>
    </row>
    <row r="22" spans="1:82" x14ac:dyDescent="0.25">
      <c r="A22">
        <v>7</v>
      </c>
      <c r="B22" t="str">
        <f>HYPERLINK("http://www.ncbi.nlm.nih.gov/protein/XP_020760865.1","XP_020760865.1")</f>
        <v>XP_020760865.1</v>
      </c>
      <c r="C22">
        <v>48218</v>
      </c>
      <c r="D22" t="str">
        <f>HYPERLINK("http://www.ncbi.nlm.nih.gov/Taxonomy/Browser/wwwtax.cgi?mode=Info&amp;id=9880&amp;lvl=3&amp;lin=f&amp;keep=1&amp;srchmode=1&amp;unlock","9880")</f>
        <v>9880</v>
      </c>
      <c r="E22" t="s">
        <v>66</v>
      </c>
      <c r="F22" t="str">
        <f>HYPERLINK("http://www.ncbi.nlm.nih.gov/Taxonomy/Browser/wwwtax.cgi?mode=Info&amp;id=9880&amp;lvl=3&amp;lin=f&amp;keep=1&amp;srchmode=1&amp;unlock","Odocoileus virginianus texanus")</f>
        <v>Odocoileus virginianus texanus</v>
      </c>
      <c r="G22" t="s">
        <v>81</v>
      </c>
      <c r="H22" t="str">
        <f>HYPERLINK("http://www.ncbi.nlm.nih.gov/protein/XP_020760865.1","mRNA export factor isoform X1")</f>
        <v>mRNA export factor isoform X1</v>
      </c>
      <c r="I22" t="s">
        <v>267</v>
      </c>
      <c r="J22" t="s">
        <v>69</v>
      </c>
      <c r="K22">
        <v>239</v>
      </c>
      <c r="L22" t="s">
        <v>74</v>
      </c>
      <c r="M22" t="s">
        <v>69</v>
      </c>
      <c r="N22" t="s">
        <v>75</v>
      </c>
      <c r="O22" t="s">
        <v>69</v>
      </c>
      <c r="P22">
        <v>174.203</v>
      </c>
      <c r="Q22" t="s">
        <v>69</v>
      </c>
      <c r="R22" t="s">
        <v>69</v>
      </c>
      <c r="S22">
        <v>256</v>
      </c>
      <c r="T22" t="s">
        <v>149</v>
      </c>
      <c r="U22" t="s">
        <v>69</v>
      </c>
      <c r="V22" t="s">
        <v>150</v>
      </c>
      <c r="W22" t="s">
        <v>69</v>
      </c>
      <c r="X22">
        <v>119.119</v>
      </c>
      <c r="Y22" t="s">
        <v>69</v>
      </c>
      <c r="Z22" t="s">
        <v>69</v>
      </c>
      <c r="AA22">
        <v>257</v>
      </c>
      <c r="AB22" t="s">
        <v>151</v>
      </c>
      <c r="AC22" t="s">
        <v>69</v>
      </c>
      <c r="AD22" t="s">
        <v>152</v>
      </c>
      <c r="AE22" t="s">
        <v>69</v>
      </c>
      <c r="AF22">
        <v>165.19200000000001</v>
      </c>
      <c r="AG22" t="s">
        <v>69</v>
      </c>
      <c r="AH22" t="s">
        <v>69</v>
      </c>
      <c r="AI22">
        <v>258</v>
      </c>
      <c r="AJ22" t="s">
        <v>76</v>
      </c>
      <c r="AK22" t="s">
        <v>69</v>
      </c>
      <c r="AL22" t="s">
        <v>75</v>
      </c>
      <c r="AM22" t="s">
        <v>69</v>
      </c>
      <c r="AN22">
        <v>146.18899999999999</v>
      </c>
      <c r="AO22" t="s">
        <v>69</v>
      </c>
      <c r="AP22" t="s">
        <v>69</v>
      </c>
      <c r="AQ22">
        <v>305</v>
      </c>
      <c r="AR22" t="s">
        <v>74</v>
      </c>
      <c r="AS22" t="s">
        <v>69</v>
      </c>
      <c r="AT22" t="s">
        <v>75</v>
      </c>
      <c r="AU22" t="s">
        <v>69</v>
      </c>
      <c r="AV22">
        <v>174.203</v>
      </c>
      <c r="AW22" t="s">
        <v>69</v>
      </c>
      <c r="AX22" t="s">
        <v>69</v>
      </c>
      <c r="AY22">
        <v>306</v>
      </c>
      <c r="AZ22" t="s">
        <v>149</v>
      </c>
      <c r="BA22" t="s">
        <v>69</v>
      </c>
      <c r="BB22" t="s">
        <v>150</v>
      </c>
      <c r="BC22" t="s">
        <v>69</v>
      </c>
      <c r="BD22">
        <v>119.119</v>
      </c>
      <c r="BE22" t="s">
        <v>69</v>
      </c>
      <c r="BF22" t="s">
        <v>69</v>
      </c>
      <c r="BG22">
        <v>307</v>
      </c>
      <c r="BH22" t="s">
        <v>76</v>
      </c>
      <c r="BI22" t="s">
        <v>69</v>
      </c>
      <c r="BJ22" t="s">
        <v>75</v>
      </c>
      <c r="BK22" t="s">
        <v>69</v>
      </c>
      <c r="BL22">
        <v>146.18899999999999</v>
      </c>
      <c r="BM22" t="s">
        <v>69</v>
      </c>
      <c r="BN22" t="s">
        <v>69</v>
      </c>
      <c r="BO22">
        <v>309</v>
      </c>
      <c r="BP22" t="s">
        <v>76</v>
      </c>
      <c r="BQ22" t="s">
        <v>69</v>
      </c>
      <c r="BR22" t="s">
        <v>75</v>
      </c>
      <c r="BS22" t="s">
        <v>69</v>
      </c>
      <c r="BT22">
        <v>146.18899999999999</v>
      </c>
      <c r="BU22" t="s">
        <v>69</v>
      </c>
      <c r="BV22" t="s">
        <v>69</v>
      </c>
      <c r="BW22">
        <v>310</v>
      </c>
      <c r="BX22" t="s">
        <v>149</v>
      </c>
      <c r="BY22" t="s">
        <v>69</v>
      </c>
      <c r="BZ22" t="s">
        <v>150</v>
      </c>
      <c r="CA22" t="s">
        <v>69</v>
      </c>
      <c r="CB22">
        <v>119.119</v>
      </c>
      <c r="CC22" t="s">
        <v>69</v>
      </c>
      <c r="CD22" t="s">
        <v>69</v>
      </c>
    </row>
    <row r="23" spans="1:82" x14ac:dyDescent="0.25">
      <c r="A23">
        <v>7</v>
      </c>
      <c r="B23" t="str">
        <f>HYPERLINK("http://www.ncbi.nlm.nih.gov/protein/XP_044118713.1","XP_044118713.1")</f>
        <v>XP_044118713.1</v>
      </c>
      <c r="C23">
        <v>44640</v>
      </c>
      <c r="D23" t="str">
        <f>HYPERLINK("http://www.ncbi.nlm.nih.gov/Taxonomy/Browser/wwwtax.cgi?mode=Info&amp;id=452646&amp;lvl=3&amp;lin=f&amp;keep=1&amp;srchmode=1&amp;unlock","452646")</f>
        <v>452646</v>
      </c>
      <c r="E23" t="s">
        <v>66</v>
      </c>
      <c r="F23" t="str">
        <f>HYPERLINK("http://www.ncbi.nlm.nih.gov/Taxonomy/Browser/wwwtax.cgi?mode=Info&amp;id=452646&amp;lvl=3&amp;lin=f&amp;keep=1&amp;srchmode=1&amp;unlock","Neogale vison")</f>
        <v>Neogale vison</v>
      </c>
      <c r="G23" t="s">
        <v>96</v>
      </c>
      <c r="H23" t="str">
        <f>HYPERLINK("http://www.ncbi.nlm.nih.gov/protein/XP_044118713.1","mRNA export factor")</f>
        <v>mRNA export factor</v>
      </c>
      <c r="I23" t="s">
        <v>267</v>
      </c>
      <c r="J23" t="s">
        <v>69</v>
      </c>
      <c r="K23">
        <v>239</v>
      </c>
      <c r="L23" t="s">
        <v>74</v>
      </c>
      <c r="M23" t="s">
        <v>69</v>
      </c>
      <c r="N23" t="s">
        <v>75</v>
      </c>
      <c r="O23" t="s">
        <v>69</v>
      </c>
      <c r="P23">
        <v>174.203</v>
      </c>
      <c r="Q23" t="s">
        <v>69</v>
      </c>
      <c r="R23" t="s">
        <v>69</v>
      </c>
      <c r="S23">
        <v>256</v>
      </c>
      <c r="T23" t="s">
        <v>149</v>
      </c>
      <c r="U23" t="s">
        <v>69</v>
      </c>
      <c r="V23" t="s">
        <v>150</v>
      </c>
      <c r="W23" t="s">
        <v>69</v>
      </c>
      <c r="X23">
        <v>119.119</v>
      </c>
      <c r="Y23" t="s">
        <v>69</v>
      </c>
      <c r="Z23" t="s">
        <v>69</v>
      </c>
      <c r="AA23">
        <v>257</v>
      </c>
      <c r="AB23" t="s">
        <v>151</v>
      </c>
      <c r="AC23" t="s">
        <v>69</v>
      </c>
      <c r="AD23" t="s">
        <v>152</v>
      </c>
      <c r="AE23" t="s">
        <v>69</v>
      </c>
      <c r="AF23">
        <v>165.19200000000001</v>
      </c>
      <c r="AG23" t="s">
        <v>69</v>
      </c>
      <c r="AH23" t="s">
        <v>69</v>
      </c>
      <c r="AI23">
        <v>258</v>
      </c>
      <c r="AJ23" t="s">
        <v>76</v>
      </c>
      <c r="AK23" t="s">
        <v>69</v>
      </c>
      <c r="AL23" t="s">
        <v>75</v>
      </c>
      <c r="AM23" t="s">
        <v>69</v>
      </c>
      <c r="AN23">
        <v>146.18899999999999</v>
      </c>
      <c r="AO23" t="s">
        <v>69</v>
      </c>
      <c r="AP23" t="s">
        <v>69</v>
      </c>
      <c r="AQ23">
        <v>305</v>
      </c>
      <c r="AR23" t="s">
        <v>74</v>
      </c>
      <c r="AS23" t="s">
        <v>69</v>
      </c>
      <c r="AT23" t="s">
        <v>75</v>
      </c>
      <c r="AU23" t="s">
        <v>69</v>
      </c>
      <c r="AV23">
        <v>174.203</v>
      </c>
      <c r="AW23" t="s">
        <v>69</v>
      </c>
      <c r="AX23" t="s">
        <v>69</v>
      </c>
      <c r="AY23">
        <v>306</v>
      </c>
      <c r="AZ23" t="s">
        <v>149</v>
      </c>
      <c r="BA23" t="s">
        <v>69</v>
      </c>
      <c r="BB23" t="s">
        <v>150</v>
      </c>
      <c r="BC23" t="s">
        <v>69</v>
      </c>
      <c r="BD23">
        <v>119.119</v>
      </c>
      <c r="BE23" t="s">
        <v>69</v>
      </c>
      <c r="BF23" t="s">
        <v>69</v>
      </c>
      <c r="BG23">
        <v>307</v>
      </c>
      <c r="BH23" t="s">
        <v>76</v>
      </c>
      <c r="BI23" t="s">
        <v>69</v>
      </c>
      <c r="BJ23" t="s">
        <v>75</v>
      </c>
      <c r="BK23" t="s">
        <v>69</v>
      </c>
      <c r="BL23">
        <v>146.18899999999999</v>
      </c>
      <c r="BM23" t="s">
        <v>69</v>
      </c>
      <c r="BN23" t="s">
        <v>69</v>
      </c>
      <c r="BO23">
        <v>309</v>
      </c>
      <c r="BP23" t="s">
        <v>76</v>
      </c>
      <c r="BQ23" t="s">
        <v>69</v>
      </c>
      <c r="BR23" t="s">
        <v>75</v>
      </c>
      <c r="BS23" t="s">
        <v>69</v>
      </c>
      <c r="BT23">
        <v>146.18899999999999</v>
      </c>
      <c r="BU23" t="s">
        <v>69</v>
      </c>
      <c r="BV23" t="s">
        <v>69</v>
      </c>
      <c r="BW23">
        <v>310</v>
      </c>
      <c r="BX23" t="s">
        <v>149</v>
      </c>
      <c r="BY23" t="s">
        <v>69</v>
      </c>
      <c r="BZ23" t="s">
        <v>150</v>
      </c>
      <c r="CA23" t="s">
        <v>69</v>
      </c>
      <c r="CB23">
        <v>119.119</v>
      </c>
      <c r="CC23" t="s">
        <v>69</v>
      </c>
      <c r="CD23" t="s">
        <v>69</v>
      </c>
    </row>
    <row r="24" spans="1:82" x14ac:dyDescent="0.25">
      <c r="A24">
        <v>7</v>
      </c>
      <c r="B24" t="str">
        <f>HYPERLINK("http://www.ncbi.nlm.nih.gov/protein/NP_001015585.1","NP_001015585.1")</f>
        <v>NP_001015585.1</v>
      </c>
      <c r="C24">
        <v>136186</v>
      </c>
      <c r="D24" t="str">
        <f>HYPERLINK("http://www.ncbi.nlm.nih.gov/Taxonomy/Browser/wwwtax.cgi?mode=Info&amp;id=9913&amp;lvl=3&amp;lin=f&amp;keep=1&amp;srchmode=1&amp;unlock","9913")</f>
        <v>9913</v>
      </c>
      <c r="E24" t="s">
        <v>66</v>
      </c>
      <c r="F24" t="str">
        <f>HYPERLINK("http://www.ncbi.nlm.nih.gov/Taxonomy/Browser/wwwtax.cgi?mode=Info&amp;id=9913&amp;lvl=3&amp;lin=f&amp;keep=1&amp;srchmode=1&amp;unlock","Bos taurus")</f>
        <v>Bos taurus</v>
      </c>
      <c r="G24" t="s">
        <v>82</v>
      </c>
      <c r="H24" t="str">
        <f>HYPERLINK("http://www.ncbi.nlm.nih.gov/protein/NP_001015585.1","mRNA export factor")</f>
        <v>mRNA export factor</v>
      </c>
      <c r="I24" t="s">
        <v>267</v>
      </c>
      <c r="J24" t="s">
        <v>69</v>
      </c>
      <c r="K24">
        <v>239</v>
      </c>
      <c r="L24" t="s">
        <v>74</v>
      </c>
      <c r="M24" t="s">
        <v>69</v>
      </c>
      <c r="N24" t="s">
        <v>75</v>
      </c>
      <c r="O24" t="s">
        <v>69</v>
      </c>
      <c r="P24">
        <v>174.203</v>
      </c>
      <c r="Q24" t="s">
        <v>69</v>
      </c>
      <c r="R24" t="s">
        <v>69</v>
      </c>
      <c r="S24">
        <v>256</v>
      </c>
      <c r="T24" t="s">
        <v>149</v>
      </c>
      <c r="U24" t="s">
        <v>69</v>
      </c>
      <c r="V24" t="s">
        <v>150</v>
      </c>
      <c r="W24" t="s">
        <v>69</v>
      </c>
      <c r="X24">
        <v>119.119</v>
      </c>
      <c r="Y24" t="s">
        <v>69</v>
      </c>
      <c r="Z24" t="s">
        <v>69</v>
      </c>
      <c r="AA24">
        <v>257</v>
      </c>
      <c r="AB24" t="s">
        <v>151</v>
      </c>
      <c r="AC24" t="s">
        <v>69</v>
      </c>
      <c r="AD24" t="s">
        <v>152</v>
      </c>
      <c r="AE24" t="s">
        <v>69</v>
      </c>
      <c r="AF24">
        <v>165.19200000000001</v>
      </c>
      <c r="AG24" t="s">
        <v>69</v>
      </c>
      <c r="AH24" t="s">
        <v>69</v>
      </c>
      <c r="AI24">
        <v>258</v>
      </c>
      <c r="AJ24" t="s">
        <v>76</v>
      </c>
      <c r="AK24" t="s">
        <v>69</v>
      </c>
      <c r="AL24" t="s">
        <v>75</v>
      </c>
      <c r="AM24" t="s">
        <v>69</v>
      </c>
      <c r="AN24">
        <v>146.18899999999999</v>
      </c>
      <c r="AO24" t="s">
        <v>69</v>
      </c>
      <c r="AP24" t="s">
        <v>69</v>
      </c>
      <c r="AQ24">
        <v>305</v>
      </c>
      <c r="AR24" t="s">
        <v>74</v>
      </c>
      <c r="AS24" t="s">
        <v>69</v>
      </c>
      <c r="AT24" t="s">
        <v>75</v>
      </c>
      <c r="AU24" t="s">
        <v>69</v>
      </c>
      <c r="AV24">
        <v>174.203</v>
      </c>
      <c r="AW24" t="s">
        <v>69</v>
      </c>
      <c r="AX24" t="s">
        <v>69</v>
      </c>
      <c r="AY24">
        <v>306</v>
      </c>
      <c r="AZ24" t="s">
        <v>149</v>
      </c>
      <c r="BA24" t="s">
        <v>69</v>
      </c>
      <c r="BB24" t="s">
        <v>150</v>
      </c>
      <c r="BC24" t="s">
        <v>69</v>
      </c>
      <c r="BD24">
        <v>119.119</v>
      </c>
      <c r="BE24" t="s">
        <v>69</v>
      </c>
      <c r="BF24" t="s">
        <v>69</v>
      </c>
      <c r="BG24">
        <v>307</v>
      </c>
      <c r="BH24" t="s">
        <v>76</v>
      </c>
      <c r="BI24" t="s">
        <v>69</v>
      </c>
      <c r="BJ24" t="s">
        <v>75</v>
      </c>
      <c r="BK24" t="s">
        <v>69</v>
      </c>
      <c r="BL24">
        <v>146.18899999999999</v>
      </c>
      <c r="BM24" t="s">
        <v>69</v>
      </c>
      <c r="BN24" t="s">
        <v>69</v>
      </c>
      <c r="BO24">
        <v>309</v>
      </c>
      <c r="BP24" t="s">
        <v>76</v>
      </c>
      <c r="BQ24" t="s">
        <v>69</v>
      </c>
      <c r="BR24" t="s">
        <v>75</v>
      </c>
      <c r="BS24" t="s">
        <v>69</v>
      </c>
      <c r="BT24">
        <v>146.18899999999999</v>
      </c>
      <c r="BU24" t="s">
        <v>69</v>
      </c>
      <c r="BV24" t="s">
        <v>69</v>
      </c>
      <c r="BW24">
        <v>310</v>
      </c>
      <c r="BX24" t="s">
        <v>149</v>
      </c>
      <c r="BY24" t="s">
        <v>69</v>
      </c>
      <c r="BZ24" t="s">
        <v>150</v>
      </c>
      <c r="CA24" t="s">
        <v>69</v>
      </c>
      <c r="CB24">
        <v>119.119</v>
      </c>
      <c r="CC24" t="s">
        <v>69</v>
      </c>
      <c r="CD24" t="s">
        <v>69</v>
      </c>
    </row>
    <row r="25" spans="1:82" x14ac:dyDescent="0.25">
      <c r="A25">
        <v>7</v>
      </c>
      <c r="B25" t="str">
        <f>HYPERLINK("http://www.ncbi.nlm.nih.gov/protein/NP_780321.1","NP_780321.1")</f>
        <v>NP_780321.1</v>
      </c>
      <c r="C25">
        <v>337449</v>
      </c>
      <c r="D25" t="str">
        <f>HYPERLINK("http://www.ncbi.nlm.nih.gov/Taxonomy/Browser/wwwtax.cgi?mode=Info&amp;id=10090&amp;lvl=3&amp;lin=f&amp;keep=1&amp;srchmode=1&amp;unlock","10090")</f>
        <v>10090</v>
      </c>
      <c r="E25" t="s">
        <v>66</v>
      </c>
      <c r="F25" t="str">
        <f>HYPERLINK("http://www.ncbi.nlm.nih.gov/Taxonomy/Browser/wwwtax.cgi?mode=Info&amp;id=10090&amp;lvl=3&amp;lin=f&amp;keep=1&amp;srchmode=1&amp;unlock","Mus musculus")</f>
        <v>Mus musculus</v>
      </c>
      <c r="G25" t="s">
        <v>104</v>
      </c>
      <c r="H25" t="str">
        <f>HYPERLINK("http://www.ncbi.nlm.nih.gov/protein/NP_780321.1","mRNA export factor")</f>
        <v>mRNA export factor</v>
      </c>
      <c r="I25" t="s">
        <v>267</v>
      </c>
      <c r="J25" t="s">
        <v>69</v>
      </c>
      <c r="K25">
        <v>239</v>
      </c>
      <c r="L25" t="s">
        <v>74</v>
      </c>
      <c r="M25" t="s">
        <v>69</v>
      </c>
      <c r="N25" t="s">
        <v>75</v>
      </c>
      <c r="O25" t="s">
        <v>69</v>
      </c>
      <c r="P25">
        <v>174.203</v>
      </c>
      <c r="Q25" t="s">
        <v>69</v>
      </c>
      <c r="R25" t="s">
        <v>69</v>
      </c>
      <c r="S25">
        <v>256</v>
      </c>
      <c r="T25" t="s">
        <v>149</v>
      </c>
      <c r="U25" t="s">
        <v>69</v>
      </c>
      <c r="V25" t="s">
        <v>150</v>
      </c>
      <c r="W25" t="s">
        <v>69</v>
      </c>
      <c r="X25">
        <v>119.119</v>
      </c>
      <c r="Y25" t="s">
        <v>69</v>
      </c>
      <c r="Z25" t="s">
        <v>69</v>
      </c>
      <c r="AA25">
        <v>257</v>
      </c>
      <c r="AB25" t="s">
        <v>151</v>
      </c>
      <c r="AC25" t="s">
        <v>69</v>
      </c>
      <c r="AD25" t="s">
        <v>152</v>
      </c>
      <c r="AE25" t="s">
        <v>69</v>
      </c>
      <c r="AF25">
        <v>165.19200000000001</v>
      </c>
      <c r="AG25" t="s">
        <v>69</v>
      </c>
      <c r="AH25" t="s">
        <v>69</v>
      </c>
      <c r="AI25">
        <v>258</v>
      </c>
      <c r="AJ25" t="s">
        <v>76</v>
      </c>
      <c r="AK25" t="s">
        <v>69</v>
      </c>
      <c r="AL25" t="s">
        <v>75</v>
      </c>
      <c r="AM25" t="s">
        <v>69</v>
      </c>
      <c r="AN25">
        <v>146.18899999999999</v>
      </c>
      <c r="AO25" t="s">
        <v>69</v>
      </c>
      <c r="AP25" t="s">
        <v>69</v>
      </c>
      <c r="AQ25">
        <v>305</v>
      </c>
      <c r="AR25" t="s">
        <v>74</v>
      </c>
      <c r="AS25" t="s">
        <v>69</v>
      </c>
      <c r="AT25" t="s">
        <v>75</v>
      </c>
      <c r="AU25" t="s">
        <v>69</v>
      </c>
      <c r="AV25">
        <v>174.203</v>
      </c>
      <c r="AW25" t="s">
        <v>69</v>
      </c>
      <c r="AX25" t="s">
        <v>69</v>
      </c>
      <c r="AY25">
        <v>306</v>
      </c>
      <c r="AZ25" t="s">
        <v>149</v>
      </c>
      <c r="BA25" t="s">
        <v>69</v>
      </c>
      <c r="BB25" t="s">
        <v>150</v>
      </c>
      <c r="BC25" t="s">
        <v>69</v>
      </c>
      <c r="BD25">
        <v>119.119</v>
      </c>
      <c r="BE25" t="s">
        <v>69</v>
      </c>
      <c r="BF25" t="s">
        <v>69</v>
      </c>
      <c r="BG25">
        <v>307</v>
      </c>
      <c r="BH25" t="s">
        <v>76</v>
      </c>
      <c r="BI25" t="s">
        <v>69</v>
      </c>
      <c r="BJ25" t="s">
        <v>75</v>
      </c>
      <c r="BK25" t="s">
        <v>69</v>
      </c>
      <c r="BL25">
        <v>146.18899999999999</v>
      </c>
      <c r="BM25" t="s">
        <v>69</v>
      </c>
      <c r="BN25" t="s">
        <v>69</v>
      </c>
      <c r="BO25">
        <v>309</v>
      </c>
      <c r="BP25" t="s">
        <v>76</v>
      </c>
      <c r="BQ25" t="s">
        <v>69</v>
      </c>
      <c r="BR25" t="s">
        <v>75</v>
      </c>
      <c r="BS25" t="s">
        <v>69</v>
      </c>
      <c r="BT25">
        <v>146.18899999999999</v>
      </c>
      <c r="BU25" t="s">
        <v>69</v>
      </c>
      <c r="BV25" t="s">
        <v>69</v>
      </c>
      <c r="BW25">
        <v>310</v>
      </c>
      <c r="BX25" t="s">
        <v>149</v>
      </c>
      <c r="BY25" t="s">
        <v>69</v>
      </c>
      <c r="BZ25" t="s">
        <v>150</v>
      </c>
      <c r="CA25" t="s">
        <v>69</v>
      </c>
      <c r="CB25">
        <v>119.119</v>
      </c>
      <c r="CC25" t="s">
        <v>69</v>
      </c>
      <c r="CD25" t="s">
        <v>69</v>
      </c>
    </row>
    <row r="26" spans="1:82" x14ac:dyDescent="0.25">
      <c r="A26">
        <v>7</v>
      </c>
      <c r="B26" t="str">
        <f>HYPERLINK("http://www.ncbi.nlm.nih.gov/protein/XP_005074527.1","XP_005074527.1")</f>
        <v>XP_005074527.1</v>
      </c>
      <c r="C26">
        <v>54410</v>
      </c>
      <c r="D26" t="str">
        <f>HYPERLINK("http://www.ncbi.nlm.nih.gov/Taxonomy/Browser/wwwtax.cgi?mode=Info&amp;id=10036&amp;lvl=3&amp;lin=f&amp;keep=1&amp;srchmode=1&amp;unlock","10036")</f>
        <v>10036</v>
      </c>
      <c r="E26" t="s">
        <v>66</v>
      </c>
      <c r="F26" t="str">
        <f>HYPERLINK("http://www.ncbi.nlm.nih.gov/Taxonomy/Browser/wwwtax.cgi?mode=Info&amp;id=10036&amp;lvl=3&amp;lin=f&amp;keep=1&amp;srchmode=1&amp;unlock","Mesocricetus auratus")</f>
        <v>Mesocricetus auratus</v>
      </c>
      <c r="G26" t="s">
        <v>87</v>
      </c>
      <c r="H26" t="str">
        <f>HYPERLINK("http://www.ncbi.nlm.nih.gov/protein/XP_005074527.1","mRNA export factor")</f>
        <v>mRNA export factor</v>
      </c>
      <c r="I26" t="s">
        <v>267</v>
      </c>
      <c r="J26" t="s">
        <v>69</v>
      </c>
      <c r="K26">
        <v>239</v>
      </c>
      <c r="L26" t="s">
        <v>74</v>
      </c>
      <c r="M26" t="s">
        <v>69</v>
      </c>
      <c r="N26" t="s">
        <v>75</v>
      </c>
      <c r="O26" t="s">
        <v>69</v>
      </c>
      <c r="P26">
        <v>174.203</v>
      </c>
      <c r="Q26" t="s">
        <v>69</v>
      </c>
      <c r="R26" t="s">
        <v>69</v>
      </c>
      <c r="S26">
        <v>256</v>
      </c>
      <c r="T26" t="s">
        <v>149</v>
      </c>
      <c r="U26" t="s">
        <v>69</v>
      </c>
      <c r="V26" t="s">
        <v>150</v>
      </c>
      <c r="W26" t="s">
        <v>69</v>
      </c>
      <c r="X26">
        <v>119.119</v>
      </c>
      <c r="Y26" t="s">
        <v>69</v>
      </c>
      <c r="Z26" t="s">
        <v>69</v>
      </c>
      <c r="AA26">
        <v>257</v>
      </c>
      <c r="AB26" t="s">
        <v>151</v>
      </c>
      <c r="AC26" t="s">
        <v>69</v>
      </c>
      <c r="AD26" t="s">
        <v>152</v>
      </c>
      <c r="AE26" t="s">
        <v>69</v>
      </c>
      <c r="AF26">
        <v>165.19200000000001</v>
      </c>
      <c r="AG26" t="s">
        <v>69</v>
      </c>
      <c r="AH26" t="s">
        <v>69</v>
      </c>
      <c r="AI26">
        <v>258</v>
      </c>
      <c r="AJ26" t="s">
        <v>76</v>
      </c>
      <c r="AK26" t="s">
        <v>69</v>
      </c>
      <c r="AL26" t="s">
        <v>75</v>
      </c>
      <c r="AM26" t="s">
        <v>69</v>
      </c>
      <c r="AN26">
        <v>146.18899999999999</v>
      </c>
      <c r="AO26" t="s">
        <v>69</v>
      </c>
      <c r="AP26" t="s">
        <v>69</v>
      </c>
      <c r="AQ26">
        <v>305</v>
      </c>
      <c r="AR26" t="s">
        <v>74</v>
      </c>
      <c r="AS26" t="s">
        <v>69</v>
      </c>
      <c r="AT26" t="s">
        <v>75</v>
      </c>
      <c r="AU26" t="s">
        <v>69</v>
      </c>
      <c r="AV26">
        <v>174.203</v>
      </c>
      <c r="AW26" t="s">
        <v>69</v>
      </c>
      <c r="AX26" t="s">
        <v>69</v>
      </c>
      <c r="AY26">
        <v>306</v>
      </c>
      <c r="AZ26" t="s">
        <v>149</v>
      </c>
      <c r="BA26" t="s">
        <v>69</v>
      </c>
      <c r="BB26" t="s">
        <v>150</v>
      </c>
      <c r="BC26" t="s">
        <v>69</v>
      </c>
      <c r="BD26">
        <v>119.119</v>
      </c>
      <c r="BE26" t="s">
        <v>69</v>
      </c>
      <c r="BF26" t="s">
        <v>69</v>
      </c>
      <c r="BG26">
        <v>307</v>
      </c>
      <c r="BH26" t="s">
        <v>76</v>
      </c>
      <c r="BI26" t="s">
        <v>69</v>
      </c>
      <c r="BJ26" t="s">
        <v>75</v>
      </c>
      <c r="BK26" t="s">
        <v>69</v>
      </c>
      <c r="BL26">
        <v>146.18899999999999</v>
      </c>
      <c r="BM26" t="s">
        <v>69</v>
      </c>
      <c r="BN26" t="s">
        <v>69</v>
      </c>
      <c r="BO26">
        <v>309</v>
      </c>
      <c r="BP26" t="s">
        <v>76</v>
      </c>
      <c r="BQ26" t="s">
        <v>69</v>
      </c>
      <c r="BR26" t="s">
        <v>75</v>
      </c>
      <c r="BS26" t="s">
        <v>69</v>
      </c>
      <c r="BT26">
        <v>146.18899999999999</v>
      </c>
      <c r="BU26" t="s">
        <v>69</v>
      </c>
      <c r="BV26" t="s">
        <v>69</v>
      </c>
      <c r="BW26">
        <v>310</v>
      </c>
      <c r="BX26" t="s">
        <v>149</v>
      </c>
      <c r="BY26" t="s">
        <v>69</v>
      </c>
      <c r="BZ26" t="s">
        <v>150</v>
      </c>
      <c r="CA26" t="s">
        <v>69</v>
      </c>
      <c r="CB26">
        <v>119.119</v>
      </c>
      <c r="CC26" t="s">
        <v>69</v>
      </c>
      <c r="CD26" t="s">
        <v>69</v>
      </c>
    </row>
    <row r="27" spans="1:82" x14ac:dyDescent="0.25">
      <c r="A27">
        <v>7</v>
      </c>
      <c r="B27" t="str">
        <f>HYPERLINK("http://www.ncbi.nlm.nih.gov/protein/XP_006985404.1","XP_006985404.1")</f>
        <v>XP_006985404.1</v>
      </c>
      <c r="C27">
        <v>54287</v>
      </c>
      <c r="D27" t="str">
        <f>HYPERLINK("http://www.ncbi.nlm.nih.gov/Taxonomy/Browser/wwwtax.cgi?mode=Info&amp;id=230844&amp;lvl=3&amp;lin=f&amp;keep=1&amp;srchmode=1&amp;unlock","230844")</f>
        <v>230844</v>
      </c>
      <c r="E27" t="s">
        <v>66</v>
      </c>
      <c r="F27" t="str">
        <f>HYPERLINK("http://www.ncbi.nlm.nih.gov/Taxonomy/Browser/wwwtax.cgi?mode=Info&amp;id=230844&amp;lvl=3&amp;lin=f&amp;keep=1&amp;srchmode=1&amp;unlock","Peromyscus maniculatus bairdii")</f>
        <v>Peromyscus maniculatus bairdii</v>
      </c>
      <c r="G27" t="s">
        <v>88</v>
      </c>
      <c r="H27" t="str">
        <f>HYPERLINK("http://www.ncbi.nlm.nih.gov/protein/XP_006985404.1","mRNA export factor")</f>
        <v>mRNA export factor</v>
      </c>
      <c r="I27" t="s">
        <v>267</v>
      </c>
      <c r="J27" t="s">
        <v>69</v>
      </c>
      <c r="K27">
        <v>239</v>
      </c>
      <c r="L27" t="s">
        <v>74</v>
      </c>
      <c r="M27" t="s">
        <v>69</v>
      </c>
      <c r="N27" t="s">
        <v>75</v>
      </c>
      <c r="O27" t="s">
        <v>69</v>
      </c>
      <c r="P27">
        <v>174.203</v>
      </c>
      <c r="Q27" t="s">
        <v>69</v>
      </c>
      <c r="R27" t="s">
        <v>69</v>
      </c>
      <c r="S27">
        <v>256</v>
      </c>
      <c r="T27" t="s">
        <v>149</v>
      </c>
      <c r="U27" t="s">
        <v>69</v>
      </c>
      <c r="V27" t="s">
        <v>150</v>
      </c>
      <c r="W27" t="s">
        <v>69</v>
      </c>
      <c r="X27">
        <v>119.119</v>
      </c>
      <c r="Y27" t="s">
        <v>69</v>
      </c>
      <c r="Z27" t="s">
        <v>69</v>
      </c>
      <c r="AA27">
        <v>257</v>
      </c>
      <c r="AB27" t="s">
        <v>151</v>
      </c>
      <c r="AC27" t="s">
        <v>69</v>
      </c>
      <c r="AD27" t="s">
        <v>152</v>
      </c>
      <c r="AE27" t="s">
        <v>69</v>
      </c>
      <c r="AF27">
        <v>165.19200000000001</v>
      </c>
      <c r="AG27" t="s">
        <v>69</v>
      </c>
      <c r="AH27" t="s">
        <v>69</v>
      </c>
      <c r="AI27">
        <v>258</v>
      </c>
      <c r="AJ27" t="s">
        <v>76</v>
      </c>
      <c r="AK27" t="s">
        <v>69</v>
      </c>
      <c r="AL27" t="s">
        <v>75</v>
      </c>
      <c r="AM27" t="s">
        <v>69</v>
      </c>
      <c r="AN27">
        <v>146.18899999999999</v>
      </c>
      <c r="AO27" t="s">
        <v>69</v>
      </c>
      <c r="AP27" t="s">
        <v>69</v>
      </c>
      <c r="AQ27">
        <v>305</v>
      </c>
      <c r="AR27" t="s">
        <v>74</v>
      </c>
      <c r="AS27" t="s">
        <v>69</v>
      </c>
      <c r="AT27" t="s">
        <v>75</v>
      </c>
      <c r="AU27" t="s">
        <v>69</v>
      </c>
      <c r="AV27">
        <v>174.203</v>
      </c>
      <c r="AW27" t="s">
        <v>69</v>
      </c>
      <c r="AX27" t="s">
        <v>69</v>
      </c>
      <c r="AY27">
        <v>306</v>
      </c>
      <c r="AZ27" t="s">
        <v>149</v>
      </c>
      <c r="BA27" t="s">
        <v>69</v>
      </c>
      <c r="BB27" t="s">
        <v>150</v>
      </c>
      <c r="BC27" t="s">
        <v>69</v>
      </c>
      <c r="BD27">
        <v>119.119</v>
      </c>
      <c r="BE27" t="s">
        <v>69</v>
      </c>
      <c r="BF27" t="s">
        <v>69</v>
      </c>
      <c r="BG27">
        <v>307</v>
      </c>
      <c r="BH27" t="s">
        <v>76</v>
      </c>
      <c r="BI27" t="s">
        <v>69</v>
      </c>
      <c r="BJ27" t="s">
        <v>75</v>
      </c>
      <c r="BK27" t="s">
        <v>69</v>
      </c>
      <c r="BL27">
        <v>146.18899999999999</v>
      </c>
      <c r="BM27" t="s">
        <v>69</v>
      </c>
      <c r="BN27" t="s">
        <v>69</v>
      </c>
      <c r="BO27">
        <v>309</v>
      </c>
      <c r="BP27" t="s">
        <v>76</v>
      </c>
      <c r="BQ27" t="s">
        <v>69</v>
      </c>
      <c r="BR27" t="s">
        <v>75</v>
      </c>
      <c r="BS27" t="s">
        <v>69</v>
      </c>
      <c r="BT27">
        <v>146.18899999999999</v>
      </c>
      <c r="BU27" t="s">
        <v>69</v>
      </c>
      <c r="BV27" t="s">
        <v>69</v>
      </c>
      <c r="BW27">
        <v>310</v>
      </c>
      <c r="BX27" t="s">
        <v>149</v>
      </c>
      <c r="BY27" t="s">
        <v>69</v>
      </c>
      <c r="BZ27" t="s">
        <v>150</v>
      </c>
      <c r="CA27" t="s">
        <v>69</v>
      </c>
      <c r="CB27">
        <v>119.119</v>
      </c>
      <c r="CC27" t="s">
        <v>69</v>
      </c>
      <c r="CD27" t="s">
        <v>69</v>
      </c>
    </row>
    <row r="28" spans="1:82" x14ac:dyDescent="0.25">
      <c r="A28">
        <v>7</v>
      </c>
      <c r="B28" t="str">
        <f>HYPERLINK("http://www.ncbi.nlm.nih.gov/protein/XP_006235754.1","XP_006235754.1")</f>
        <v>XP_006235754.1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HYPERLINK("http://www.ncbi.nlm.nih.gov/protein/XP_006235754.1","mRNA export factor isoform X1")</f>
        <v>mRNA export factor isoform X1</v>
      </c>
      <c r="I28" t="s">
        <v>267</v>
      </c>
      <c r="J28" t="s">
        <v>69</v>
      </c>
      <c r="K28">
        <v>243</v>
      </c>
      <c r="L28" t="s">
        <v>74</v>
      </c>
      <c r="M28" t="s">
        <v>69</v>
      </c>
      <c r="N28" t="s">
        <v>75</v>
      </c>
      <c r="O28" t="s">
        <v>69</v>
      </c>
      <c r="P28">
        <v>174.203</v>
      </c>
      <c r="Q28" t="s">
        <v>69</v>
      </c>
      <c r="R28" t="s">
        <v>69</v>
      </c>
      <c r="S28">
        <v>260</v>
      </c>
      <c r="T28" t="s">
        <v>149</v>
      </c>
      <c r="U28" t="s">
        <v>69</v>
      </c>
      <c r="V28" t="s">
        <v>150</v>
      </c>
      <c r="W28" t="s">
        <v>69</v>
      </c>
      <c r="X28">
        <v>119.119</v>
      </c>
      <c r="Y28" t="s">
        <v>69</v>
      </c>
      <c r="Z28" t="s">
        <v>69</v>
      </c>
      <c r="AA28">
        <v>261</v>
      </c>
      <c r="AB28" t="s">
        <v>151</v>
      </c>
      <c r="AC28" t="s">
        <v>69</v>
      </c>
      <c r="AD28" t="s">
        <v>152</v>
      </c>
      <c r="AE28" t="s">
        <v>69</v>
      </c>
      <c r="AF28">
        <v>165.19200000000001</v>
      </c>
      <c r="AG28" t="s">
        <v>69</v>
      </c>
      <c r="AH28" t="s">
        <v>69</v>
      </c>
      <c r="AI28">
        <v>262</v>
      </c>
      <c r="AJ28" t="s">
        <v>76</v>
      </c>
      <c r="AK28" t="s">
        <v>69</v>
      </c>
      <c r="AL28" t="s">
        <v>75</v>
      </c>
      <c r="AM28" t="s">
        <v>69</v>
      </c>
      <c r="AN28">
        <v>146.18899999999999</v>
      </c>
      <c r="AO28" t="s">
        <v>69</v>
      </c>
      <c r="AP28" t="s">
        <v>69</v>
      </c>
      <c r="AQ28">
        <v>309</v>
      </c>
      <c r="AR28" t="s">
        <v>74</v>
      </c>
      <c r="AS28" t="s">
        <v>69</v>
      </c>
      <c r="AT28" t="s">
        <v>75</v>
      </c>
      <c r="AU28" t="s">
        <v>69</v>
      </c>
      <c r="AV28">
        <v>174.203</v>
      </c>
      <c r="AW28" t="s">
        <v>69</v>
      </c>
      <c r="AX28" t="s">
        <v>69</v>
      </c>
      <c r="AY28">
        <v>310</v>
      </c>
      <c r="AZ28" t="s">
        <v>149</v>
      </c>
      <c r="BA28" t="s">
        <v>69</v>
      </c>
      <c r="BB28" t="s">
        <v>150</v>
      </c>
      <c r="BC28" t="s">
        <v>69</v>
      </c>
      <c r="BD28">
        <v>119.119</v>
      </c>
      <c r="BE28" t="s">
        <v>69</v>
      </c>
      <c r="BF28" t="s">
        <v>69</v>
      </c>
      <c r="BG28">
        <v>311</v>
      </c>
      <c r="BH28" t="s">
        <v>76</v>
      </c>
      <c r="BI28" t="s">
        <v>69</v>
      </c>
      <c r="BJ28" t="s">
        <v>75</v>
      </c>
      <c r="BK28" t="s">
        <v>69</v>
      </c>
      <c r="BL28">
        <v>146.18899999999999</v>
      </c>
      <c r="BM28" t="s">
        <v>69</v>
      </c>
      <c r="BN28" t="s">
        <v>69</v>
      </c>
      <c r="BO28">
        <v>313</v>
      </c>
      <c r="BP28" t="s">
        <v>76</v>
      </c>
      <c r="BQ28" t="s">
        <v>69</v>
      </c>
      <c r="BR28" t="s">
        <v>75</v>
      </c>
      <c r="BS28" t="s">
        <v>69</v>
      </c>
      <c r="BT28">
        <v>146.18899999999999</v>
      </c>
      <c r="BU28" t="s">
        <v>69</v>
      </c>
      <c r="BV28" t="s">
        <v>69</v>
      </c>
      <c r="BW28">
        <v>314</v>
      </c>
      <c r="BX28" t="s">
        <v>149</v>
      </c>
      <c r="BY28" t="s">
        <v>69</v>
      </c>
      <c r="BZ28" t="s">
        <v>150</v>
      </c>
      <c r="CA28" t="s">
        <v>69</v>
      </c>
      <c r="CB28">
        <v>119.119</v>
      </c>
      <c r="CC28" t="s">
        <v>69</v>
      </c>
      <c r="CD28" t="s">
        <v>69</v>
      </c>
    </row>
    <row r="29" spans="1:82" x14ac:dyDescent="0.25">
      <c r="A29">
        <v>7</v>
      </c>
      <c r="B29" t="str">
        <f>HYPERLINK("http://www.ncbi.nlm.nih.gov/protein/XP_017504389.1","XP_017504389.1")</f>
        <v>XP_017504389.1</v>
      </c>
      <c r="C29">
        <v>56064</v>
      </c>
      <c r="D29" t="str">
        <f>HYPERLINK("http://www.ncbi.nlm.nih.gov/Taxonomy/Browser/wwwtax.cgi?mode=Info&amp;id=9974&amp;lvl=3&amp;lin=f&amp;keep=1&amp;srchmode=1&amp;unlock","9974")</f>
        <v>9974</v>
      </c>
      <c r="E29" t="s">
        <v>66</v>
      </c>
      <c r="F29" t="str">
        <f>HYPERLINK("http://www.ncbi.nlm.nih.gov/Taxonomy/Browser/wwwtax.cgi?mode=Info&amp;id=9974&amp;lvl=3&amp;lin=f&amp;keep=1&amp;srchmode=1&amp;unlock","Manis javanica")</f>
        <v>Manis javanica</v>
      </c>
      <c r="G29" t="s">
        <v>100</v>
      </c>
      <c r="H29" t="str">
        <f>HYPERLINK("http://www.ncbi.nlm.nih.gov/protein/XP_017504389.1","mRNA export factor isoform X1")</f>
        <v>mRNA export factor isoform X1</v>
      </c>
      <c r="I29" t="s">
        <v>267</v>
      </c>
      <c r="J29" t="s">
        <v>69</v>
      </c>
      <c r="K29">
        <v>238</v>
      </c>
      <c r="L29" t="s">
        <v>74</v>
      </c>
      <c r="M29" t="s">
        <v>69</v>
      </c>
      <c r="N29" t="s">
        <v>75</v>
      </c>
      <c r="O29" t="s">
        <v>69</v>
      </c>
      <c r="P29">
        <v>174.203</v>
      </c>
      <c r="Q29" t="s">
        <v>69</v>
      </c>
      <c r="R29" t="s">
        <v>69</v>
      </c>
      <c r="S29">
        <v>255</v>
      </c>
      <c r="T29" t="s">
        <v>149</v>
      </c>
      <c r="U29" t="s">
        <v>69</v>
      </c>
      <c r="V29" t="s">
        <v>150</v>
      </c>
      <c r="W29" t="s">
        <v>69</v>
      </c>
      <c r="X29">
        <v>119.119</v>
      </c>
      <c r="Y29" t="s">
        <v>69</v>
      </c>
      <c r="Z29" t="s">
        <v>69</v>
      </c>
      <c r="AA29">
        <v>256</v>
      </c>
      <c r="AB29" t="s">
        <v>151</v>
      </c>
      <c r="AC29" t="s">
        <v>69</v>
      </c>
      <c r="AD29" t="s">
        <v>152</v>
      </c>
      <c r="AE29" t="s">
        <v>69</v>
      </c>
      <c r="AF29">
        <v>165.19200000000001</v>
      </c>
      <c r="AG29" t="s">
        <v>69</v>
      </c>
      <c r="AH29" t="s">
        <v>69</v>
      </c>
      <c r="AI29">
        <v>257</v>
      </c>
      <c r="AJ29" t="s">
        <v>76</v>
      </c>
      <c r="AK29" t="s">
        <v>69</v>
      </c>
      <c r="AL29" t="s">
        <v>75</v>
      </c>
      <c r="AM29" t="s">
        <v>69</v>
      </c>
      <c r="AN29">
        <v>146.18899999999999</v>
      </c>
      <c r="AO29" t="s">
        <v>69</v>
      </c>
      <c r="AP29" t="s">
        <v>69</v>
      </c>
      <c r="AQ29">
        <v>304</v>
      </c>
      <c r="AR29" t="s">
        <v>74</v>
      </c>
      <c r="AS29" t="s">
        <v>69</v>
      </c>
      <c r="AT29" t="s">
        <v>75</v>
      </c>
      <c r="AU29" t="s">
        <v>69</v>
      </c>
      <c r="AV29">
        <v>174.203</v>
      </c>
      <c r="AW29" t="s">
        <v>69</v>
      </c>
      <c r="AX29" t="s">
        <v>69</v>
      </c>
      <c r="AY29">
        <v>305</v>
      </c>
      <c r="AZ29" t="s">
        <v>149</v>
      </c>
      <c r="BA29" t="s">
        <v>69</v>
      </c>
      <c r="BB29" t="s">
        <v>150</v>
      </c>
      <c r="BC29" t="s">
        <v>69</v>
      </c>
      <c r="BD29">
        <v>119.119</v>
      </c>
      <c r="BE29" t="s">
        <v>69</v>
      </c>
      <c r="BF29" t="s">
        <v>69</v>
      </c>
      <c r="BG29">
        <v>306</v>
      </c>
      <c r="BH29" t="s">
        <v>76</v>
      </c>
      <c r="BI29" t="s">
        <v>69</v>
      </c>
      <c r="BJ29" t="s">
        <v>75</v>
      </c>
      <c r="BK29" t="s">
        <v>69</v>
      </c>
      <c r="BL29">
        <v>146.18899999999999</v>
      </c>
      <c r="BM29" t="s">
        <v>69</v>
      </c>
      <c r="BN29" t="s">
        <v>69</v>
      </c>
      <c r="BO29">
        <v>308</v>
      </c>
      <c r="BP29" t="s">
        <v>76</v>
      </c>
      <c r="BQ29" t="s">
        <v>69</v>
      </c>
      <c r="BR29" t="s">
        <v>75</v>
      </c>
      <c r="BS29" t="s">
        <v>69</v>
      </c>
      <c r="BT29">
        <v>146.18899999999999</v>
      </c>
      <c r="BU29" t="s">
        <v>69</v>
      </c>
      <c r="BV29" t="s">
        <v>69</v>
      </c>
      <c r="BW29">
        <v>309</v>
      </c>
      <c r="BX29" t="s">
        <v>149</v>
      </c>
      <c r="BY29" t="s">
        <v>69</v>
      </c>
      <c r="BZ29" t="s">
        <v>150</v>
      </c>
      <c r="CA29" t="s">
        <v>69</v>
      </c>
      <c r="CB29">
        <v>119.119</v>
      </c>
      <c r="CC29" t="s">
        <v>69</v>
      </c>
      <c r="CD29" t="s">
        <v>69</v>
      </c>
    </row>
    <row r="30" spans="1:82" x14ac:dyDescent="0.25">
      <c r="A30">
        <v>7</v>
      </c>
      <c r="B30" t="str">
        <f>HYPERLINK("http://www.ncbi.nlm.nih.gov/protein/XP_015980423.2","XP_015980423.2")</f>
        <v>XP_015980423.2</v>
      </c>
      <c r="C30">
        <v>117142</v>
      </c>
      <c r="D30" t="str">
        <f>HYPERLINK("http://www.ncbi.nlm.nih.gov/Taxonomy/Browser/wwwtax.cgi?mode=Info&amp;id=9407&amp;lvl=3&amp;lin=f&amp;keep=1&amp;srchmode=1&amp;unlock","9407")</f>
        <v>9407</v>
      </c>
      <c r="E30" t="s">
        <v>66</v>
      </c>
      <c r="F30" t="str">
        <f>HYPERLINK("http://www.ncbi.nlm.nih.gov/Taxonomy/Browser/wwwtax.cgi?mode=Info&amp;id=9407&amp;lvl=3&amp;lin=f&amp;keep=1&amp;srchmode=1&amp;unlock","Rousettus aegyptiacus")</f>
        <v>Rousettus aegyptiacus</v>
      </c>
      <c r="G30" t="s">
        <v>103</v>
      </c>
      <c r="H30" t="str">
        <f>HYPERLINK("http://www.ncbi.nlm.nih.gov/protein/XP_015980423.2","mRNA export factor")</f>
        <v>mRNA export factor</v>
      </c>
      <c r="I30" t="s">
        <v>267</v>
      </c>
      <c r="J30" t="s">
        <v>69</v>
      </c>
      <c r="K30">
        <v>239</v>
      </c>
      <c r="L30" t="s">
        <v>74</v>
      </c>
      <c r="M30" t="s">
        <v>69</v>
      </c>
      <c r="N30" t="s">
        <v>75</v>
      </c>
      <c r="O30" t="s">
        <v>69</v>
      </c>
      <c r="P30">
        <v>174.203</v>
      </c>
      <c r="Q30" t="s">
        <v>69</v>
      </c>
      <c r="R30" t="s">
        <v>69</v>
      </c>
      <c r="S30">
        <v>256</v>
      </c>
      <c r="T30" t="s">
        <v>149</v>
      </c>
      <c r="U30" t="s">
        <v>69</v>
      </c>
      <c r="V30" t="s">
        <v>150</v>
      </c>
      <c r="W30" t="s">
        <v>69</v>
      </c>
      <c r="X30">
        <v>119.119</v>
      </c>
      <c r="Y30" t="s">
        <v>69</v>
      </c>
      <c r="Z30" t="s">
        <v>69</v>
      </c>
      <c r="AA30">
        <v>257</v>
      </c>
      <c r="AB30" t="s">
        <v>151</v>
      </c>
      <c r="AC30" t="s">
        <v>69</v>
      </c>
      <c r="AD30" t="s">
        <v>152</v>
      </c>
      <c r="AE30" t="s">
        <v>69</v>
      </c>
      <c r="AF30">
        <v>165.19200000000001</v>
      </c>
      <c r="AG30" t="s">
        <v>69</v>
      </c>
      <c r="AH30" t="s">
        <v>69</v>
      </c>
      <c r="AI30">
        <v>258</v>
      </c>
      <c r="AJ30" t="s">
        <v>76</v>
      </c>
      <c r="AK30" t="s">
        <v>69</v>
      </c>
      <c r="AL30" t="s">
        <v>75</v>
      </c>
      <c r="AM30" t="s">
        <v>69</v>
      </c>
      <c r="AN30">
        <v>146.18899999999999</v>
      </c>
      <c r="AO30" t="s">
        <v>69</v>
      </c>
      <c r="AP30" t="s">
        <v>69</v>
      </c>
      <c r="AQ30">
        <v>305</v>
      </c>
      <c r="AR30" t="s">
        <v>74</v>
      </c>
      <c r="AS30" t="s">
        <v>69</v>
      </c>
      <c r="AT30" t="s">
        <v>75</v>
      </c>
      <c r="AU30" t="s">
        <v>69</v>
      </c>
      <c r="AV30">
        <v>174.203</v>
      </c>
      <c r="AW30" t="s">
        <v>69</v>
      </c>
      <c r="AX30" t="s">
        <v>69</v>
      </c>
      <c r="AY30">
        <v>306</v>
      </c>
      <c r="AZ30" t="s">
        <v>149</v>
      </c>
      <c r="BA30" t="s">
        <v>69</v>
      </c>
      <c r="BB30" t="s">
        <v>150</v>
      </c>
      <c r="BC30" t="s">
        <v>69</v>
      </c>
      <c r="BD30">
        <v>119.119</v>
      </c>
      <c r="BE30" t="s">
        <v>69</v>
      </c>
      <c r="BF30" t="s">
        <v>69</v>
      </c>
      <c r="BG30">
        <v>307</v>
      </c>
      <c r="BH30" t="s">
        <v>76</v>
      </c>
      <c r="BI30" t="s">
        <v>69</v>
      </c>
      <c r="BJ30" t="s">
        <v>75</v>
      </c>
      <c r="BK30" t="s">
        <v>69</v>
      </c>
      <c r="BL30">
        <v>146.18899999999999</v>
      </c>
      <c r="BM30" t="s">
        <v>69</v>
      </c>
      <c r="BN30" t="s">
        <v>69</v>
      </c>
      <c r="BO30">
        <v>309</v>
      </c>
      <c r="BP30" t="s">
        <v>76</v>
      </c>
      <c r="BQ30" t="s">
        <v>69</v>
      </c>
      <c r="BR30" t="s">
        <v>75</v>
      </c>
      <c r="BS30" t="s">
        <v>69</v>
      </c>
      <c r="BT30">
        <v>146.18899999999999</v>
      </c>
      <c r="BU30" t="s">
        <v>69</v>
      </c>
      <c r="BV30" t="s">
        <v>69</v>
      </c>
      <c r="BW30">
        <v>310</v>
      </c>
      <c r="BX30" t="s">
        <v>149</v>
      </c>
      <c r="BY30" t="s">
        <v>69</v>
      </c>
      <c r="BZ30" t="s">
        <v>150</v>
      </c>
      <c r="CA30" t="s">
        <v>69</v>
      </c>
      <c r="CB30">
        <v>119.119</v>
      </c>
      <c r="CC30" t="s">
        <v>69</v>
      </c>
      <c r="CD30" t="s">
        <v>69</v>
      </c>
    </row>
    <row r="31" spans="1:82" x14ac:dyDescent="0.25">
      <c r="A31">
        <v>7</v>
      </c>
      <c r="B31" t="str">
        <f>HYPERLINK("http://www.ncbi.nlm.nih.gov/protein/XP_005499674.1","XP_005499674.1")</f>
        <v>XP_005499674.1</v>
      </c>
      <c r="C31">
        <v>50957</v>
      </c>
      <c r="D31" t="str">
        <f>HYPERLINK("http://www.ncbi.nlm.nih.gov/Taxonomy/Browser/wwwtax.cgi?mode=Info&amp;id=8932&amp;lvl=3&amp;lin=f&amp;keep=1&amp;srchmode=1&amp;unlock","8932")</f>
        <v>8932</v>
      </c>
      <c r="E31" t="s">
        <v>107</v>
      </c>
      <c r="F31" t="str">
        <f>HYPERLINK("http://www.ncbi.nlm.nih.gov/Taxonomy/Browser/wwwtax.cgi?mode=Info&amp;id=8932&amp;lvl=3&amp;lin=f&amp;keep=1&amp;srchmode=1&amp;unlock","Columba livia")</f>
        <v>Columba livia</v>
      </c>
      <c r="G31" t="s">
        <v>108</v>
      </c>
      <c r="H31" t="str">
        <f>HYPERLINK("http://www.ncbi.nlm.nih.gov/protein/XP_005499674.1","mRNA export factor isoform X1")</f>
        <v>mRNA export factor isoform X1</v>
      </c>
      <c r="I31" t="s">
        <v>267</v>
      </c>
      <c r="J31" t="s">
        <v>69</v>
      </c>
      <c r="K31">
        <v>239</v>
      </c>
      <c r="L31" t="s">
        <v>74</v>
      </c>
      <c r="M31" t="s">
        <v>69</v>
      </c>
      <c r="N31" t="s">
        <v>75</v>
      </c>
      <c r="O31" t="s">
        <v>69</v>
      </c>
      <c r="P31">
        <v>174.203</v>
      </c>
      <c r="Q31" t="s">
        <v>69</v>
      </c>
      <c r="R31" t="s">
        <v>69</v>
      </c>
      <c r="S31">
        <v>256</v>
      </c>
      <c r="T31" t="s">
        <v>149</v>
      </c>
      <c r="U31" t="s">
        <v>69</v>
      </c>
      <c r="V31" t="s">
        <v>150</v>
      </c>
      <c r="W31" t="s">
        <v>69</v>
      </c>
      <c r="X31">
        <v>119.119</v>
      </c>
      <c r="Y31" t="s">
        <v>69</v>
      </c>
      <c r="Z31" t="s">
        <v>69</v>
      </c>
      <c r="AA31">
        <v>257</v>
      </c>
      <c r="AB31" t="s">
        <v>151</v>
      </c>
      <c r="AC31" t="s">
        <v>69</v>
      </c>
      <c r="AD31" t="s">
        <v>152</v>
      </c>
      <c r="AE31" t="s">
        <v>69</v>
      </c>
      <c r="AF31">
        <v>165.19200000000001</v>
      </c>
      <c r="AG31" t="s">
        <v>69</v>
      </c>
      <c r="AH31" t="s">
        <v>69</v>
      </c>
      <c r="AI31">
        <v>258</v>
      </c>
      <c r="AJ31" t="s">
        <v>76</v>
      </c>
      <c r="AK31" t="s">
        <v>69</v>
      </c>
      <c r="AL31" t="s">
        <v>75</v>
      </c>
      <c r="AM31" t="s">
        <v>69</v>
      </c>
      <c r="AN31">
        <v>146.18899999999999</v>
      </c>
      <c r="AO31" t="s">
        <v>69</v>
      </c>
      <c r="AP31" t="s">
        <v>69</v>
      </c>
      <c r="AQ31">
        <v>305</v>
      </c>
      <c r="AR31" t="s">
        <v>74</v>
      </c>
      <c r="AS31" t="s">
        <v>69</v>
      </c>
      <c r="AT31" t="s">
        <v>75</v>
      </c>
      <c r="AU31" t="s">
        <v>69</v>
      </c>
      <c r="AV31">
        <v>174.203</v>
      </c>
      <c r="AW31" t="s">
        <v>69</v>
      </c>
      <c r="AX31" t="s">
        <v>69</v>
      </c>
      <c r="AY31">
        <v>306</v>
      </c>
      <c r="AZ31" t="s">
        <v>149</v>
      </c>
      <c r="BA31" t="s">
        <v>69</v>
      </c>
      <c r="BB31" t="s">
        <v>150</v>
      </c>
      <c r="BC31" t="s">
        <v>69</v>
      </c>
      <c r="BD31">
        <v>119.119</v>
      </c>
      <c r="BE31" t="s">
        <v>69</v>
      </c>
      <c r="BF31" t="s">
        <v>69</v>
      </c>
      <c r="BG31">
        <v>307</v>
      </c>
      <c r="BH31" t="s">
        <v>76</v>
      </c>
      <c r="BI31" t="s">
        <v>69</v>
      </c>
      <c r="BJ31" t="s">
        <v>75</v>
      </c>
      <c r="BK31" t="s">
        <v>69</v>
      </c>
      <c r="BL31">
        <v>146.18899999999999</v>
      </c>
      <c r="BM31" t="s">
        <v>69</v>
      </c>
      <c r="BN31" t="s">
        <v>69</v>
      </c>
      <c r="BO31">
        <v>309</v>
      </c>
      <c r="BP31" t="s">
        <v>76</v>
      </c>
      <c r="BQ31" t="s">
        <v>69</v>
      </c>
      <c r="BR31" t="s">
        <v>75</v>
      </c>
      <c r="BS31" t="s">
        <v>69</v>
      </c>
      <c r="BT31">
        <v>146.18899999999999</v>
      </c>
      <c r="BU31" t="s">
        <v>69</v>
      </c>
      <c r="BV31" t="s">
        <v>69</v>
      </c>
      <c r="BW31">
        <v>310</v>
      </c>
      <c r="BX31" t="s">
        <v>149</v>
      </c>
      <c r="BY31" t="s">
        <v>69</v>
      </c>
      <c r="BZ31" t="s">
        <v>150</v>
      </c>
      <c r="CA31" t="s">
        <v>69</v>
      </c>
      <c r="CB31">
        <v>119.119</v>
      </c>
      <c r="CC31" t="s">
        <v>69</v>
      </c>
      <c r="CD31" t="s">
        <v>69</v>
      </c>
    </row>
    <row r="32" spans="1:82" x14ac:dyDescent="0.25">
      <c r="A32">
        <v>7</v>
      </c>
      <c r="B32" t="str">
        <f>HYPERLINK("http://www.ncbi.nlm.nih.gov/protein/XP_025060493.1","XP_025060493.1")</f>
        <v>XP_025060493.1</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HYPERLINK("http://www.ncbi.nlm.nih.gov/protein/XP_025060493.1","mRNA export factor isoform X1")</f>
        <v>mRNA export factor isoform X1</v>
      </c>
      <c r="I32" t="s">
        <v>267</v>
      </c>
      <c r="J32" t="s">
        <v>69</v>
      </c>
      <c r="K32">
        <v>229</v>
      </c>
      <c r="L32" t="s">
        <v>74</v>
      </c>
      <c r="M32" t="s">
        <v>69</v>
      </c>
      <c r="N32" t="s">
        <v>75</v>
      </c>
      <c r="O32" t="s">
        <v>69</v>
      </c>
      <c r="P32">
        <v>174.203</v>
      </c>
      <c r="Q32" t="s">
        <v>69</v>
      </c>
      <c r="R32" t="s">
        <v>69</v>
      </c>
      <c r="S32">
        <v>246</v>
      </c>
      <c r="T32" t="s">
        <v>149</v>
      </c>
      <c r="U32" t="s">
        <v>69</v>
      </c>
      <c r="V32" t="s">
        <v>150</v>
      </c>
      <c r="W32" t="s">
        <v>69</v>
      </c>
      <c r="X32">
        <v>119.119</v>
      </c>
      <c r="Y32" t="s">
        <v>69</v>
      </c>
      <c r="Z32" t="s">
        <v>69</v>
      </c>
      <c r="AA32">
        <v>247</v>
      </c>
      <c r="AB32" t="s">
        <v>151</v>
      </c>
      <c r="AC32" t="s">
        <v>69</v>
      </c>
      <c r="AD32" t="s">
        <v>152</v>
      </c>
      <c r="AE32" t="s">
        <v>69</v>
      </c>
      <c r="AF32">
        <v>165.19200000000001</v>
      </c>
      <c r="AG32" t="s">
        <v>69</v>
      </c>
      <c r="AH32" t="s">
        <v>69</v>
      </c>
      <c r="AI32">
        <v>248</v>
      </c>
      <c r="AJ32" t="s">
        <v>76</v>
      </c>
      <c r="AK32" t="s">
        <v>69</v>
      </c>
      <c r="AL32" t="s">
        <v>75</v>
      </c>
      <c r="AM32" t="s">
        <v>69</v>
      </c>
      <c r="AN32">
        <v>146.18899999999999</v>
      </c>
      <c r="AO32" t="s">
        <v>69</v>
      </c>
      <c r="AP32" t="s">
        <v>69</v>
      </c>
      <c r="AQ32">
        <v>295</v>
      </c>
      <c r="AR32" t="s">
        <v>74</v>
      </c>
      <c r="AS32" t="s">
        <v>69</v>
      </c>
      <c r="AT32" t="s">
        <v>75</v>
      </c>
      <c r="AU32" t="s">
        <v>69</v>
      </c>
      <c r="AV32">
        <v>174.203</v>
      </c>
      <c r="AW32" t="s">
        <v>69</v>
      </c>
      <c r="AX32" t="s">
        <v>69</v>
      </c>
      <c r="AY32">
        <v>296</v>
      </c>
      <c r="AZ32" t="s">
        <v>149</v>
      </c>
      <c r="BA32" t="s">
        <v>69</v>
      </c>
      <c r="BB32" t="s">
        <v>150</v>
      </c>
      <c r="BC32" t="s">
        <v>69</v>
      </c>
      <c r="BD32">
        <v>119.119</v>
      </c>
      <c r="BE32" t="s">
        <v>69</v>
      </c>
      <c r="BF32" t="s">
        <v>69</v>
      </c>
      <c r="BG32">
        <v>297</v>
      </c>
      <c r="BH32" t="s">
        <v>76</v>
      </c>
      <c r="BI32" t="s">
        <v>69</v>
      </c>
      <c r="BJ32" t="s">
        <v>75</v>
      </c>
      <c r="BK32" t="s">
        <v>69</v>
      </c>
      <c r="BL32">
        <v>146.18899999999999</v>
      </c>
      <c r="BM32" t="s">
        <v>69</v>
      </c>
      <c r="BN32" t="s">
        <v>69</v>
      </c>
      <c r="BO32">
        <v>299</v>
      </c>
      <c r="BP32" t="s">
        <v>76</v>
      </c>
      <c r="BQ32" t="s">
        <v>69</v>
      </c>
      <c r="BR32" t="s">
        <v>75</v>
      </c>
      <c r="BS32" t="s">
        <v>69</v>
      </c>
      <c r="BT32">
        <v>146.18899999999999</v>
      </c>
      <c r="BU32" t="s">
        <v>69</v>
      </c>
      <c r="BV32" t="s">
        <v>69</v>
      </c>
      <c r="BW32">
        <v>300</v>
      </c>
      <c r="BX32" t="s">
        <v>149</v>
      </c>
      <c r="BY32" t="s">
        <v>69</v>
      </c>
      <c r="BZ32" t="s">
        <v>150</v>
      </c>
      <c r="CA32" t="s">
        <v>69</v>
      </c>
      <c r="CB32">
        <v>119.119</v>
      </c>
      <c r="CC32" t="s">
        <v>69</v>
      </c>
      <c r="CD32" t="s">
        <v>69</v>
      </c>
    </row>
    <row r="33" spans="1:82" x14ac:dyDescent="0.25">
      <c r="A33">
        <v>7</v>
      </c>
      <c r="B33" t="str">
        <f>HYPERLINK("http://www.ncbi.nlm.nih.gov/protein/XP_039511598.1","XP_039511598.1")</f>
        <v>XP_039511598.1</v>
      </c>
      <c r="C33">
        <v>96114</v>
      </c>
      <c r="D33" t="str">
        <f>HYPERLINK("http://www.ncbi.nlm.nih.gov/Taxonomy/Browser/wwwtax.cgi?mode=Info&amp;id=90988&amp;lvl=3&amp;lin=f&amp;keep=1&amp;srchmode=1&amp;unlock","90988")</f>
        <v>90988</v>
      </c>
      <c r="E33" t="s">
        <v>113</v>
      </c>
      <c r="F33" t="str">
        <f>HYPERLINK("http://www.ncbi.nlm.nih.gov/Taxonomy/Browser/wwwtax.cgi?mode=Info&amp;id=90988&amp;lvl=3&amp;lin=f&amp;keep=1&amp;srchmode=1&amp;unlock","Pimephales promelas")</f>
        <v>Pimephales promelas</v>
      </c>
      <c r="G33" t="s">
        <v>114</v>
      </c>
      <c r="H33" t="str">
        <f>HYPERLINK("http://www.ncbi.nlm.nih.gov/protein/XP_039511598.1","mRNA export factor isoform X2")</f>
        <v>mRNA export factor isoform X2</v>
      </c>
      <c r="I33" t="s">
        <v>267</v>
      </c>
      <c r="J33" t="s">
        <v>69</v>
      </c>
      <c r="K33">
        <v>239</v>
      </c>
      <c r="L33" t="s">
        <v>74</v>
      </c>
      <c r="M33" t="s">
        <v>69</v>
      </c>
      <c r="N33" t="s">
        <v>75</v>
      </c>
      <c r="O33" t="s">
        <v>69</v>
      </c>
      <c r="P33">
        <v>174.203</v>
      </c>
      <c r="Q33" t="s">
        <v>69</v>
      </c>
      <c r="R33" t="s">
        <v>69</v>
      </c>
      <c r="S33">
        <v>256</v>
      </c>
      <c r="T33" t="s">
        <v>149</v>
      </c>
      <c r="U33" t="s">
        <v>69</v>
      </c>
      <c r="V33" t="s">
        <v>150</v>
      </c>
      <c r="W33" t="s">
        <v>69</v>
      </c>
      <c r="X33">
        <v>119.119</v>
      </c>
      <c r="Y33" t="s">
        <v>69</v>
      </c>
      <c r="Z33" t="s">
        <v>69</v>
      </c>
      <c r="AA33">
        <v>257</v>
      </c>
      <c r="AB33" t="s">
        <v>151</v>
      </c>
      <c r="AC33" t="s">
        <v>69</v>
      </c>
      <c r="AD33" t="s">
        <v>152</v>
      </c>
      <c r="AE33" t="s">
        <v>69</v>
      </c>
      <c r="AF33">
        <v>165.19200000000001</v>
      </c>
      <c r="AG33" t="s">
        <v>69</v>
      </c>
      <c r="AH33" t="s">
        <v>69</v>
      </c>
      <c r="AI33">
        <v>258</v>
      </c>
      <c r="AJ33" t="s">
        <v>76</v>
      </c>
      <c r="AK33" t="s">
        <v>69</v>
      </c>
      <c r="AL33" t="s">
        <v>75</v>
      </c>
      <c r="AM33" t="s">
        <v>69</v>
      </c>
      <c r="AN33">
        <v>146.18899999999999</v>
      </c>
      <c r="AO33" t="s">
        <v>69</v>
      </c>
      <c r="AP33" t="s">
        <v>69</v>
      </c>
      <c r="AQ33">
        <v>305</v>
      </c>
      <c r="AR33" t="s">
        <v>74</v>
      </c>
      <c r="AS33" t="s">
        <v>69</v>
      </c>
      <c r="AT33" t="s">
        <v>75</v>
      </c>
      <c r="AU33" t="s">
        <v>69</v>
      </c>
      <c r="AV33">
        <v>174.203</v>
      </c>
      <c r="AW33" t="s">
        <v>69</v>
      </c>
      <c r="AX33" t="s">
        <v>69</v>
      </c>
      <c r="AY33">
        <v>306</v>
      </c>
      <c r="AZ33" t="s">
        <v>149</v>
      </c>
      <c r="BA33" t="s">
        <v>69</v>
      </c>
      <c r="BB33" t="s">
        <v>150</v>
      </c>
      <c r="BC33" t="s">
        <v>69</v>
      </c>
      <c r="BD33">
        <v>119.119</v>
      </c>
      <c r="BE33" t="s">
        <v>69</v>
      </c>
      <c r="BF33" t="s">
        <v>69</v>
      </c>
      <c r="BG33">
        <v>307</v>
      </c>
      <c r="BH33" t="s">
        <v>76</v>
      </c>
      <c r="BI33" t="s">
        <v>69</v>
      </c>
      <c r="BJ33" t="s">
        <v>75</v>
      </c>
      <c r="BK33" t="s">
        <v>69</v>
      </c>
      <c r="BL33">
        <v>146.18899999999999</v>
      </c>
      <c r="BM33" t="s">
        <v>69</v>
      </c>
      <c r="BN33" t="s">
        <v>69</v>
      </c>
      <c r="BO33">
        <v>309</v>
      </c>
      <c r="BP33" t="s">
        <v>76</v>
      </c>
      <c r="BQ33" t="s">
        <v>69</v>
      </c>
      <c r="BR33" t="s">
        <v>75</v>
      </c>
      <c r="BS33" t="s">
        <v>69</v>
      </c>
      <c r="BT33">
        <v>146.18899999999999</v>
      </c>
      <c r="BU33" t="s">
        <v>69</v>
      </c>
      <c r="BV33" t="s">
        <v>69</v>
      </c>
      <c r="BW33">
        <v>310</v>
      </c>
      <c r="BX33" t="s">
        <v>149</v>
      </c>
      <c r="BY33" t="s">
        <v>69</v>
      </c>
      <c r="BZ33" t="s">
        <v>150</v>
      </c>
      <c r="CA33" t="s">
        <v>69</v>
      </c>
      <c r="CB33">
        <v>119.119</v>
      </c>
      <c r="CC33" t="s">
        <v>69</v>
      </c>
      <c r="CD33" t="s">
        <v>69</v>
      </c>
    </row>
    <row r="34" spans="1:82" x14ac:dyDescent="0.25">
      <c r="A34">
        <v>7</v>
      </c>
      <c r="B34" t="str">
        <f>HYPERLINK("http://www.ncbi.nlm.nih.gov/protein/NP_001091418.1","NP_001091418.1")</f>
        <v>NP_001091418.1</v>
      </c>
      <c r="C34">
        <v>146185</v>
      </c>
      <c r="D34" t="str">
        <f>HYPERLINK("http://www.ncbi.nlm.nih.gov/Taxonomy/Browser/wwwtax.cgi?mode=Info&amp;id=8355&amp;lvl=3&amp;lin=f&amp;keep=1&amp;srchmode=1&amp;unlock","8355")</f>
        <v>8355</v>
      </c>
      <c r="E34" t="s">
        <v>111</v>
      </c>
      <c r="F34" t="str">
        <f>HYPERLINK("http://www.ncbi.nlm.nih.gov/Taxonomy/Browser/wwwtax.cgi?mode=Info&amp;id=8355&amp;lvl=3&amp;lin=f&amp;keep=1&amp;srchmode=1&amp;unlock","Xenopus laevis")</f>
        <v>Xenopus laevis</v>
      </c>
      <c r="G34" t="s">
        <v>112</v>
      </c>
      <c r="H34" t="str">
        <f>HYPERLINK("http://www.ncbi.nlm.nih.gov/protein/NP_001091418.1","ribonucleic acid export 1 L homeolog")</f>
        <v>ribonucleic acid export 1 L homeolog</v>
      </c>
      <c r="I34" t="s">
        <v>267</v>
      </c>
      <c r="J34" t="s">
        <v>69</v>
      </c>
      <c r="K34">
        <v>239</v>
      </c>
      <c r="L34" t="s">
        <v>74</v>
      </c>
      <c r="M34" t="s">
        <v>69</v>
      </c>
      <c r="N34" t="s">
        <v>75</v>
      </c>
      <c r="O34" t="s">
        <v>69</v>
      </c>
      <c r="P34">
        <v>174.203</v>
      </c>
      <c r="Q34" t="s">
        <v>69</v>
      </c>
      <c r="R34" t="s">
        <v>69</v>
      </c>
      <c r="S34">
        <v>256</v>
      </c>
      <c r="T34" t="s">
        <v>149</v>
      </c>
      <c r="U34" t="s">
        <v>69</v>
      </c>
      <c r="V34" t="s">
        <v>150</v>
      </c>
      <c r="W34" t="s">
        <v>69</v>
      </c>
      <c r="X34">
        <v>119.119</v>
      </c>
      <c r="Y34" t="s">
        <v>69</v>
      </c>
      <c r="Z34" t="s">
        <v>69</v>
      </c>
      <c r="AA34">
        <v>257</v>
      </c>
      <c r="AB34" t="s">
        <v>151</v>
      </c>
      <c r="AC34" t="s">
        <v>69</v>
      </c>
      <c r="AD34" t="s">
        <v>152</v>
      </c>
      <c r="AE34" t="s">
        <v>69</v>
      </c>
      <c r="AF34">
        <v>165.19200000000001</v>
      </c>
      <c r="AG34" t="s">
        <v>69</v>
      </c>
      <c r="AH34" t="s">
        <v>69</v>
      </c>
      <c r="AI34">
        <v>258</v>
      </c>
      <c r="AJ34" t="s">
        <v>76</v>
      </c>
      <c r="AK34" t="s">
        <v>69</v>
      </c>
      <c r="AL34" t="s">
        <v>75</v>
      </c>
      <c r="AM34" t="s">
        <v>69</v>
      </c>
      <c r="AN34">
        <v>146.18899999999999</v>
      </c>
      <c r="AO34" t="s">
        <v>69</v>
      </c>
      <c r="AP34" t="s">
        <v>69</v>
      </c>
      <c r="AQ34">
        <v>305</v>
      </c>
      <c r="AR34" t="s">
        <v>74</v>
      </c>
      <c r="AS34" t="s">
        <v>69</v>
      </c>
      <c r="AT34" t="s">
        <v>75</v>
      </c>
      <c r="AU34" t="s">
        <v>69</v>
      </c>
      <c r="AV34">
        <v>174.203</v>
      </c>
      <c r="AW34" t="s">
        <v>69</v>
      </c>
      <c r="AX34" t="s">
        <v>69</v>
      </c>
      <c r="AY34">
        <v>306</v>
      </c>
      <c r="AZ34" t="s">
        <v>149</v>
      </c>
      <c r="BA34" t="s">
        <v>69</v>
      </c>
      <c r="BB34" t="s">
        <v>150</v>
      </c>
      <c r="BC34" t="s">
        <v>69</v>
      </c>
      <c r="BD34">
        <v>119.119</v>
      </c>
      <c r="BE34" t="s">
        <v>69</v>
      </c>
      <c r="BF34" t="s">
        <v>69</v>
      </c>
      <c r="BG34">
        <v>307</v>
      </c>
      <c r="BH34" t="s">
        <v>76</v>
      </c>
      <c r="BI34" t="s">
        <v>69</v>
      </c>
      <c r="BJ34" t="s">
        <v>75</v>
      </c>
      <c r="BK34" t="s">
        <v>69</v>
      </c>
      <c r="BL34">
        <v>146.18899999999999</v>
      </c>
      <c r="BM34" t="s">
        <v>69</v>
      </c>
      <c r="BN34" t="s">
        <v>69</v>
      </c>
      <c r="BO34">
        <v>309</v>
      </c>
      <c r="BP34" t="s">
        <v>76</v>
      </c>
      <c r="BQ34" t="s">
        <v>69</v>
      </c>
      <c r="BR34" t="s">
        <v>75</v>
      </c>
      <c r="BS34" t="s">
        <v>69</v>
      </c>
      <c r="BT34">
        <v>146.18899999999999</v>
      </c>
      <c r="BU34" t="s">
        <v>69</v>
      </c>
      <c r="BV34" t="s">
        <v>69</v>
      </c>
      <c r="BW34">
        <v>310</v>
      </c>
      <c r="BX34" t="s">
        <v>149</v>
      </c>
      <c r="BY34" t="s">
        <v>69</v>
      </c>
      <c r="BZ34" t="s">
        <v>150</v>
      </c>
      <c r="CA34" t="s">
        <v>69</v>
      </c>
      <c r="CB34">
        <v>119.119</v>
      </c>
      <c r="CC34" t="s">
        <v>69</v>
      </c>
      <c r="CD34" t="s">
        <v>69</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4"/>
  <sheetViews>
    <sheetView workbookViewId="0"/>
  </sheetViews>
  <sheetFormatPr defaultRowHeight="15" x14ac:dyDescent="0.25"/>
  <cols>
    <col min="8" max="8" width="34.7109375" customWidth="1"/>
  </cols>
  <sheetData>
    <row r="1" spans="1:5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row>
    <row r="2" spans="1:58" x14ac:dyDescent="0.25">
      <c r="A2">
        <v>7</v>
      </c>
      <c r="B2" t="str">
        <f>HYPERLINK("http://www.ncbi.nlm.nih.gov/protein/NP_003601.1","NP_003601.1")</f>
        <v>NP_003601.1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HYPERLINK("http://www.ncbi.nlm.nih.gov/protein/NP_003601.1","mRNA export factor RAE1")</f>
        <v>mRNA export factor RAE1</v>
      </c>
      <c r="I2" t="s">
        <v>267</v>
      </c>
      <c r="J2" t="s">
        <v>69</v>
      </c>
      <c r="K2">
        <v>255</v>
      </c>
      <c r="L2" t="s">
        <v>151</v>
      </c>
      <c r="M2" t="s">
        <v>69</v>
      </c>
      <c r="N2" t="s">
        <v>152</v>
      </c>
      <c r="O2" t="s">
        <v>69</v>
      </c>
      <c r="P2">
        <v>165.19200000000001</v>
      </c>
      <c r="Q2" t="s">
        <v>69</v>
      </c>
      <c r="R2" t="s">
        <v>69</v>
      </c>
      <c r="S2">
        <v>300</v>
      </c>
      <c r="T2" t="s">
        <v>250</v>
      </c>
      <c r="U2" t="s">
        <v>69</v>
      </c>
      <c r="V2" t="s">
        <v>152</v>
      </c>
      <c r="W2" t="s">
        <v>69</v>
      </c>
      <c r="X2">
        <v>204.22800000000001</v>
      </c>
      <c r="Y2" t="s">
        <v>69</v>
      </c>
      <c r="Z2" t="s">
        <v>69</v>
      </c>
      <c r="AA2">
        <v>301</v>
      </c>
      <c r="AB2" t="s">
        <v>156</v>
      </c>
      <c r="AC2" t="s">
        <v>69</v>
      </c>
      <c r="AD2" t="s">
        <v>120</v>
      </c>
      <c r="AE2" t="s">
        <v>69</v>
      </c>
      <c r="AF2">
        <v>133.10400000000001</v>
      </c>
      <c r="AG2" t="s">
        <v>69</v>
      </c>
      <c r="AH2" t="s">
        <v>69</v>
      </c>
      <c r="AI2">
        <v>302</v>
      </c>
      <c r="AJ2" t="s">
        <v>76</v>
      </c>
      <c r="AK2" t="s">
        <v>69</v>
      </c>
      <c r="AL2" t="s">
        <v>75</v>
      </c>
      <c r="AM2" t="s">
        <v>69</v>
      </c>
      <c r="AN2">
        <v>146.18899999999999</v>
      </c>
      <c r="AO2" t="s">
        <v>69</v>
      </c>
      <c r="AP2" t="s">
        <v>69</v>
      </c>
      <c r="AQ2">
        <v>308</v>
      </c>
      <c r="AR2" t="s">
        <v>72</v>
      </c>
      <c r="AS2" t="s">
        <v>69</v>
      </c>
      <c r="AT2" t="s">
        <v>71</v>
      </c>
      <c r="AU2" t="s">
        <v>69</v>
      </c>
      <c r="AV2">
        <v>131.17500000000001</v>
      </c>
      <c r="AW2" t="s">
        <v>69</v>
      </c>
      <c r="AX2" t="s">
        <v>69</v>
      </c>
      <c r="AY2">
        <v>365</v>
      </c>
      <c r="AZ2" t="s">
        <v>74</v>
      </c>
      <c r="BA2" t="s">
        <v>69</v>
      </c>
      <c r="BB2" t="s">
        <v>75</v>
      </c>
      <c r="BC2" t="s">
        <v>69</v>
      </c>
      <c r="BD2">
        <v>174.203</v>
      </c>
      <c r="BE2" t="s">
        <v>69</v>
      </c>
      <c r="BF2" t="s">
        <v>69</v>
      </c>
    </row>
    <row r="3" spans="1:58" x14ac:dyDescent="0.25">
      <c r="A3">
        <v>7</v>
      </c>
      <c r="B3" t="str">
        <f>HYPERLINK("http://www.ncbi.nlm.nih.gov/protein/XP_015004217.1","XP_015004217.1")</f>
        <v>XP_015004217.1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HYPERLINK("http://www.ncbi.nlm.nih.gov/protein/XP_015004217.1","mRNA export factor isoform X2")</f>
        <v>mRNA export factor isoform X2</v>
      </c>
      <c r="I3" t="s">
        <v>267</v>
      </c>
      <c r="J3" t="s">
        <v>69</v>
      </c>
      <c r="K3">
        <v>255</v>
      </c>
      <c r="L3" t="s">
        <v>151</v>
      </c>
      <c r="M3" t="s">
        <v>69</v>
      </c>
      <c r="N3" t="s">
        <v>152</v>
      </c>
      <c r="O3" t="s">
        <v>69</v>
      </c>
      <c r="P3">
        <v>165.19200000000001</v>
      </c>
      <c r="Q3" t="s">
        <v>69</v>
      </c>
      <c r="R3" t="s">
        <v>69</v>
      </c>
      <c r="S3">
        <v>300</v>
      </c>
      <c r="T3" t="s">
        <v>250</v>
      </c>
      <c r="U3" t="s">
        <v>69</v>
      </c>
      <c r="V3" t="s">
        <v>152</v>
      </c>
      <c r="W3" t="s">
        <v>69</v>
      </c>
      <c r="X3">
        <v>204.22800000000001</v>
      </c>
      <c r="Y3" t="s">
        <v>69</v>
      </c>
      <c r="Z3" t="s">
        <v>69</v>
      </c>
      <c r="AA3">
        <v>301</v>
      </c>
      <c r="AB3" t="s">
        <v>156</v>
      </c>
      <c r="AC3" t="s">
        <v>69</v>
      </c>
      <c r="AD3" t="s">
        <v>120</v>
      </c>
      <c r="AE3" t="s">
        <v>69</v>
      </c>
      <c r="AF3">
        <v>133.10400000000001</v>
      </c>
      <c r="AG3" t="s">
        <v>69</v>
      </c>
      <c r="AH3" t="s">
        <v>69</v>
      </c>
      <c r="AI3">
        <v>302</v>
      </c>
      <c r="AJ3" t="s">
        <v>76</v>
      </c>
      <c r="AK3" t="s">
        <v>69</v>
      </c>
      <c r="AL3" t="s">
        <v>75</v>
      </c>
      <c r="AM3" t="s">
        <v>69</v>
      </c>
      <c r="AN3">
        <v>146.18899999999999</v>
      </c>
      <c r="AO3" t="s">
        <v>69</v>
      </c>
      <c r="AP3" t="s">
        <v>69</v>
      </c>
      <c r="AQ3">
        <v>308</v>
      </c>
      <c r="AR3" t="s">
        <v>72</v>
      </c>
      <c r="AS3" t="s">
        <v>69</v>
      </c>
      <c r="AT3" t="s">
        <v>71</v>
      </c>
      <c r="AU3" t="s">
        <v>69</v>
      </c>
      <c r="AV3">
        <v>131.17500000000001</v>
      </c>
      <c r="AW3" t="s">
        <v>69</v>
      </c>
      <c r="AX3" t="s">
        <v>69</v>
      </c>
      <c r="AY3">
        <v>365</v>
      </c>
      <c r="AZ3" t="s">
        <v>74</v>
      </c>
      <c r="BA3" t="s">
        <v>69</v>
      </c>
      <c r="BB3" t="s">
        <v>75</v>
      </c>
      <c r="BC3" t="s">
        <v>69</v>
      </c>
      <c r="BD3">
        <v>174.203</v>
      </c>
      <c r="BE3" t="s">
        <v>69</v>
      </c>
      <c r="BF3" t="s">
        <v>69</v>
      </c>
    </row>
    <row r="4" spans="1:58" x14ac:dyDescent="0.25">
      <c r="A4">
        <v>7</v>
      </c>
      <c r="B4" t="str">
        <f>HYPERLINK("http://www.ncbi.nlm.nih.gov/protein/XP_003904625.1","XP_003904625.1")</f>
        <v>XP_003904625.1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HYPERLINK("http://www.ncbi.nlm.nih.gov/protein/XP_003904625.1","mRNA export factor isoform X2")</f>
        <v>mRNA export factor isoform X2</v>
      </c>
      <c r="I4" t="s">
        <v>267</v>
      </c>
      <c r="J4" t="s">
        <v>69</v>
      </c>
      <c r="K4">
        <v>255</v>
      </c>
      <c r="L4" t="s">
        <v>151</v>
      </c>
      <c r="M4" t="s">
        <v>69</v>
      </c>
      <c r="N4" t="s">
        <v>152</v>
      </c>
      <c r="O4" t="s">
        <v>69</v>
      </c>
      <c r="P4">
        <v>165.19200000000001</v>
      </c>
      <c r="Q4" t="s">
        <v>69</v>
      </c>
      <c r="R4" t="s">
        <v>69</v>
      </c>
      <c r="S4">
        <v>300</v>
      </c>
      <c r="T4" t="s">
        <v>250</v>
      </c>
      <c r="U4" t="s">
        <v>69</v>
      </c>
      <c r="V4" t="s">
        <v>152</v>
      </c>
      <c r="W4" t="s">
        <v>69</v>
      </c>
      <c r="X4">
        <v>204.22800000000001</v>
      </c>
      <c r="Y4" t="s">
        <v>69</v>
      </c>
      <c r="Z4" t="s">
        <v>69</v>
      </c>
      <c r="AA4">
        <v>301</v>
      </c>
      <c r="AB4" t="s">
        <v>156</v>
      </c>
      <c r="AC4" t="s">
        <v>69</v>
      </c>
      <c r="AD4" t="s">
        <v>120</v>
      </c>
      <c r="AE4" t="s">
        <v>69</v>
      </c>
      <c r="AF4">
        <v>133.10400000000001</v>
      </c>
      <c r="AG4" t="s">
        <v>69</v>
      </c>
      <c r="AH4" t="s">
        <v>69</v>
      </c>
      <c r="AI4">
        <v>302</v>
      </c>
      <c r="AJ4" t="s">
        <v>76</v>
      </c>
      <c r="AK4" t="s">
        <v>69</v>
      </c>
      <c r="AL4" t="s">
        <v>75</v>
      </c>
      <c r="AM4" t="s">
        <v>69</v>
      </c>
      <c r="AN4">
        <v>146.18899999999999</v>
      </c>
      <c r="AO4" t="s">
        <v>69</v>
      </c>
      <c r="AP4" t="s">
        <v>69</v>
      </c>
      <c r="AQ4">
        <v>308</v>
      </c>
      <c r="AR4" t="s">
        <v>72</v>
      </c>
      <c r="AS4" t="s">
        <v>69</v>
      </c>
      <c r="AT4" t="s">
        <v>71</v>
      </c>
      <c r="AU4" t="s">
        <v>69</v>
      </c>
      <c r="AV4">
        <v>131.17500000000001</v>
      </c>
      <c r="AW4" t="s">
        <v>69</v>
      </c>
      <c r="AX4" t="s">
        <v>69</v>
      </c>
      <c r="AY4">
        <v>365</v>
      </c>
      <c r="AZ4" t="s">
        <v>74</v>
      </c>
      <c r="BA4" t="s">
        <v>69</v>
      </c>
      <c r="BB4" t="s">
        <v>75</v>
      </c>
      <c r="BC4" t="s">
        <v>69</v>
      </c>
      <c r="BD4">
        <v>174.203</v>
      </c>
      <c r="BE4" t="s">
        <v>69</v>
      </c>
      <c r="BF4" t="s">
        <v>69</v>
      </c>
    </row>
    <row r="5" spans="1:58" x14ac:dyDescent="0.25">
      <c r="A5">
        <v>7</v>
      </c>
      <c r="B5" t="str">
        <f>HYPERLINK("http://www.ncbi.nlm.nih.gov/protein/XP_035154883.1","XP_035154883.1")</f>
        <v>XP_035154883.1</v>
      </c>
      <c r="C5">
        <v>87664</v>
      </c>
      <c r="D5" t="str">
        <f>HYPERLINK("http://www.ncbi.nlm.nih.gov/Taxonomy/Browser/wwwtax.cgi?mode=Info&amp;id=9483&amp;lvl=3&amp;lin=f&amp;keep=1&amp;srchmode=1&amp;unlock","9483")</f>
        <v>9483</v>
      </c>
      <c r="E5" t="s">
        <v>66</v>
      </c>
      <c r="F5" t="str">
        <f>HYPERLINK("http://www.ncbi.nlm.nih.gov/Taxonomy/Browser/wwwtax.cgi?mode=Info&amp;id=9483&amp;lvl=3&amp;lin=f&amp;keep=1&amp;srchmode=1&amp;unlock","Callithrix jacchus")</f>
        <v>Callithrix jacchus</v>
      </c>
      <c r="G5" t="s">
        <v>106</v>
      </c>
      <c r="H5" t="str">
        <f>HYPERLINK("http://www.ncbi.nlm.nih.gov/protein/XP_035154883.1","mRNA export factor isoform X1")</f>
        <v>mRNA export factor isoform X1</v>
      </c>
      <c r="I5" t="s">
        <v>267</v>
      </c>
      <c r="J5" t="s">
        <v>69</v>
      </c>
      <c r="K5">
        <v>263</v>
      </c>
      <c r="L5" t="s">
        <v>151</v>
      </c>
      <c r="M5" t="s">
        <v>69</v>
      </c>
      <c r="N5" t="s">
        <v>152</v>
      </c>
      <c r="O5" t="s">
        <v>69</v>
      </c>
      <c r="P5">
        <v>165.19200000000001</v>
      </c>
      <c r="Q5" t="s">
        <v>69</v>
      </c>
      <c r="R5" t="s">
        <v>69</v>
      </c>
      <c r="S5">
        <v>308</v>
      </c>
      <c r="T5" t="s">
        <v>250</v>
      </c>
      <c r="U5" t="s">
        <v>69</v>
      </c>
      <c r="V5" t="s">
        <v>152</v>
      </c>
      <c r="W5" t="s">
        <v>69</v>
      </c>
      <c r="X5">
        <v>204.22800000000001</v>
      </c>
      <c r="Y5" t="s">
        <v>69</v>
      </c>
      <c r="Z5" t="s">
        <v>69</v>
      </c>
      <c r="AA5">
        <v>309</v>
      </c>
      <c r="AB5" t="s">
        <v>156</v>
      </c>
      <c r="AC5" t="s">
        <v>69</v>
      </c>
      <c r="AD5" t="s">
        <v>120</v>
      </c>
      <c r="AE5" t="s">
        <v>69</v>
      </c>
      <c r="AF5">
        <v>133.10400000000001</v>
      </c>
      <c r="AG5" t="s">
        <v>69</v>
      </c>
      <c r="AH5" t="s">
        <v>69</v>
      </c>
      <c r="AI5">
        <v>310</v>
      </c>
      <c r="AJ5" t="s">
        <v>76</v>
      </c>
      <c r="AK5" t="s">
        <v>69</v>
      </c>
      <c r="AL5" t="s">
        <v>75</v>
      </c>
      <c r="AM5" t="s">
        <v>69</v>
      </c>
      <c r="AN5">
        <v>146.18899999999999</v>
      </c>
      <c r="AO5" t="s">
        <v>69</v>
      </c>
      <c r="AP5" t="s">
        <v>69</v>
      </c>
      <c r="AQ5">
        <v>316</v>
      </c>
      <c r="AR5" t="s">
        <v>72</v>
      </c>
      <c r="AS5" t="s">
        <v>69</v>
      </c>
      <c r="AT5" t="s">
        <v>71</v>
      </c>
      <c r="AU5" t="s">
        <v>69</v>
      </c>
      <c r="AV5">
        <v>131.17500000000001</v>
      </c>
      <c r="AW5" t="s">
        <v>69</v>
      </c>
      <c r="AX5" t="s">
        <v>69</v>
      </c>
      <c r="AY5">
        <v>373</v>
      </c>
      <c r="AZ5" t="s">
        <v>74</v>
      </c>
      <c r="BA5" t="s">
        <v>69</v>
      </c>
      <c r="BB5" t="s">
        <v>75</v>
      </c>
      <c r="BC5" t="s">
        <v>69</v>
      </c>
      <c r="BD5">
        <v>174.203</v>
      </c>
      <c r="BE5" t="s">
        <v>69</v>
      </c>
      <c r="BF5" t="s">
        <v>69</v>
      </c>
    </row>
    <row r="6" spans="1:58" x14ac:dyDescent="0.25">
      <c r="A6">
        <v>7</v>
      </c>
      <c r="B6" t="str">
        <f>HYPERLINK("http://www.ncbi.nlm.nih.gov/protein/XP_047395047.1","XP_047395047.1")</f>
        <v>XP_047395047.1</v>
      </c>
      <c r="C6">
        <v>74939</v>
      </c>
      <c r="D6" t="str">
        <f>HYPERLINK("http://www.ncbi.nlm.nih.gov/Taxonomy/Browser/wwwtax.cgi?mode=Info&amp;id=30640&amp;lvl=3&amp;lin=f&amp;keep=1&amp;srchmode=1&amp;unlock","30640")</f>
        <v>30640</v>
      </c>
      <c r="E6" t="s">
        <v>66</v>
      </c>
      <c r="F6" t="str">
        <f>HYPERLINK("http://www.ncbi.nlm.nih.gov/Taxonomy/Browser/wwwtax.cgi?mode=Info&amp;id=30640&amp;lvl=3&amp;lin=f&amp;keep=1&amp;srchmode=1&amp;unlock","Neosciurus carolinensis")</f>
        <v>Neosciurus carolinensis</v>
      </c>
      <c r="G6" t="s">
        <v>101</v>
      </c>
      <c r="H6" t="str">
        <f>HYPERLINK("http://www.ncbi.nlm.nih.gov/protein/XP_047395047.1","mRNA export factor")</f>
        <v>mRNA export factor</v>
      </c>
      <c r="I6" t="s">
        <v>267</v>
      </c>
      <c r="J6" t="s">
        <v>69</v>
      </c>
      <c r="K6">
        <v>312</v>
      </c>
      <c r="L6" t="s">
        <v>151</v>
      </c>
      <c r="M6" t="s">
        <v>69</v>
      </c>
      <c r="N6" t="s">
        <v>152</v>
      </c>
      <c r="O6" t="s">
        <v>69</v>
      </c>
      <c r="P6">
        <v>165.19200000000001</v>
      </c>
      <c r="Q6" t="s">
        <v>69</v>
      </c>
      <c r="R6" t="s">
        <v>69</v>
      </c>
      <c r="S6">
        <v>357</v>
      </c>
      <c r="T6" t="s">
        <v>250</v>
      </c>
      <c r="U6" t="s">
        <v>69</v>
      </c>
      <c r="V6" t="s">
        <v>152</v>
      </c>
      <c r="W6" t="s">
        <v>69</v>
      </c>
      <c r="X6">
        <v>204.22800000000001</v>
      </c>
      <c r="Y6" t="s">
        <v>69</v>
      </c>
      <c r="Z6" t="s">
        <v>69</v>
      </c>
      <c r="AA6">
        <v>358</v>
      </c>
      <c r="AB6" t="s">
        <v>156</v>
      </c>
      <c r="AC6" t="s">
        <v>69</v>
      </c>
      <c r="AD6" t="s">
        <v>120</v>
      </c>
      <c r="AE6" t="s">
        <v>69</v>
      </c>
      <c r="AF6">
        <v>133.10400000000001</v>
      </c>
      <c r="AG6" t="s">
        <v>69</v>
      </c>
      <c r="AH6" t="s">
        <v>69</v>
      </c>
      <c r="AI6">
        <v>359</v>
      </c>
      <c r="AJ6" t="s">
        <v>76</v>
      </c>
      <c r="AK6" t="s">
        <v>69</v>
      </c>
      <c r="AL6" t="s">
        <v>75</v>
      </c>
      <c r="AM6" t="s">
        <v>69</v>
      </c>
      <c r="AN6">
        <v>146.18899999999999</v>
      </c>
      <c r="AO6" t="s">
        <v>69</v>
      </c>
      <c r="AP6" t="s">
        <v>69</v>
      </c>
      <c r="AQ6">
        <v>365</v>
      </c>
      <c r="AR6" t="s">
        <v>72</v>
      </c>
      <c r="AS6" t="s">
        <v>69</v>
      </c>
      <c r="AT6" t="s">
        <v>71</v>
      </c>
      <c r="AU6" t="s">
        <v>69</v>
      </c>
      <c r="AV6">
        <v>131.17500000000001</v>
      </c>
      <c r="AW6" t="s">
        <v>69</v>
      </c>
      <c r="AX6" t="s">
        <v>69</v>
      </c>
      <c r="AY6">
        <v>422</v>
      </c>
      <c r="AZ6" t="s">
        <v>74</v>
      </c>
      <c r="BA6" t="s">
        <v>69</v>
      </c>
      <c r="BB6" t="s">
        <v>75</v>
      </c>
      <c r="BC6" t="s">
        <v>69</v>
      </c>
      <c r="BD6">
        <v>174.203</v>
      </c>
      <c r="BE6" t="s">
        <v>69</v>
      </c>
      <c r="BF6" t="s">
        <v>69</v>
      </c>
    </row>
    <row r="7" spans="1:58" x14ac:dyDescent="0.25">
      <c r="A7">
        <v>7</v>
      </c>
      <c r="B7" t="str">
        <f>HYPERLINK("http://www.ncbi.nlm.nih.gov/protein/XP_004062462.1","XP_004062462.1")</f>
        <v>XP_004062462.1</v>
      </c>
      <c r="C7">
        <v>52137</v>
      </c>
      <c r="D7" t="str">
        <f>HYPERLINK("http://www.ncbi.nlm.nih.gov/Taxonomy/Browser/wwwtax.cgi?mode=Info&amp;id=9595&amp;lvl=3&amp;lin=f&amp;keep=1&amp;srchmode=1&amp;unlock","9595")</f>
        <v>9595</v>
      </c>
      <c r="E7" t="s">
        <v>66</v>
      </c>
      <c r="F7" t="str">
        <f>HYPERLINK("http://www.ncbi.nlm.nih.gov/Taxonomy/Browser/wwwtax.cgi?mode=Info&amp;id=9595&amp;lvl=3&amp;lin=f&amp;keep=1&amp;srchmode=1&amp;unlock","Gorilla gorilla gorilla")</f>
        <v>Gorilla gorilla gorilla</v>
      </c>
      <c r="G7" t="s">
        <v>79</v>
      </c>
      <c r="H7" t="str">
        <f>HYPERLINK("http://www.ncbi.nlm.nih.gov/protein/XP_004062462.1","mRNA export factor")</f>
        <v>mRNA export factor</v>
      </c>
      <c r="I7" t="s">
        <v>267</v>
      </c>
      <c r="J7" t="s">
        <v>69</v>
      </c>
      <c r="K7">
        <v>255</v>
      </c>
      <c r="L7" t="s">
        <v>151</v>
      </c>
      <c r="M7" t="s">
        <v>69</v>
      </c>
      <c r="N7" t="s">
        <v>152</v>
      </c>
      <c r="O7" t="s">
        <v>69</v>
      </c>
      <c r="P7">
        <v>165.19200000000001</v>
      </c>
      <c r="Q7" t="s">
        <v>69</v>
      </c>
      <c r="R7" t="s">
        <v>69</v>
      </c>
      <c r="S7">
        <v>300</v>
      </c>
      <c r="T7" t="s">
        <v>250</v>
      </c>
      <c r="U7" t="s">
        <v>69</v>
      </c>
      <c r="V7" t="s">
        <v>152</v>
      </c>
      <c r="W7" t="s">
        <v>69</v>
      </c>
      <c r="X7">
        <v>204.22800000000001</v>
      </c>
      <c r="Y7" t="s">
        <v>69</v>
      </c>
      <c r="Z7" t="s">
        <v>69</v>
      </c>
      <c r="AA7">
        <v>301</v>
      </c>
      <c r="AB7" t="s">
        <v>156</v>
      </c>
      <c r="AC7" t="s">
        <v>69</v>
      </c>
      <c r="AD7" t="s">
        <v>120</v>
      </c>
      <c r="AE7" t="s">
        <v>69</v>
      </c>
      <c r="AF7">
        <v>133.10400000000001</v>
      </c>
      <c r="AG7" t="s">
        <v>69</v>
      </c>
      <c r="AH7" t="s">
        <v>69</v>
      </c>
      <c r="AI7">
        <v>302</v>
      </c>
      <c r="AJ7" t="s">
        <v>76</v>
      </c>
      <c r="AK7" t="s">
        <v>69</v>
      </c>
      <c r="AL7" t="s">
        <v>75</v>
      </c>
      <c r="AM7" t="s">
        <v>69</v>
      </c>
      <c r="AN7">
        <v>146.18899999999999</v>
      </c>
      <c r="AO7" t="s">
        <v>69</v>
      </c>
      <c r="AP7" t="s">
        <v>69</v>
      </c>
      <c r="AQ7">
        <v>308</v>
      </c>
      <c r="AR7" t="s">
        <v>72</v>
      </c>
      <c r="AS7" t="s">
        <v>69</v>
      </c>
      <c r="AT7" t="s">
        <v>71</v>
      </c>
      <c r="AU7" t="s">
        <v>69</v>
      </c>
      <c r="AV7">
        <v>131.17500000000001</v>
      </c>
      <c r="AW7" t="s">
        <v>69</v>
      </c>
      <c r="AX7" t="s">
        <v>69</v>
      </c>
      <c r="AY7">
        <v>365</v>
      </c>
      <c r="AZ7" t="s">
        <v>74</v>
      </c>
      <c r="BA7" t="s">
        <v>69</v>
      </c>
      <c r="BB7" t="s">
        <v>75</v>
      </c>
      <c r="BC7" t="s">
        <v>69</v>
      </c>
      <c r="BD7">
        <v>174.203</v>
      </c>
      <c r="BE7" t="s">
        <v>69</v>
      </c>
      <c r="BF7" t="s">
        <v>69</v>
      </c>
    </row>
    <row r="8" spans="1:58" x14ac:dyDescent="0.25">
      <c r="A8">
        <v>7</v>
      </c>
      <c r="B8" t="str">
        <f>HYPERLINK("http://www.ncbi.nlm.nih.gov/protein/XP_008011530.1","XP_008011530.1")</f>
        <v>XP_008011530.1</v>
      </c>
      <c r="C8">
        <v>62302</v>
      </c>
      <c r="D8" t="str">
        <f>HYPERLINK("http://www.ncbi.nlm.nih.gov/Taxonomy/Browser/wwwtax.cgi?mode=Info&amp;id=60711&amp;lvl=3&amp;lin=f&amp;keep=1&amp;srchmode=1&amp;unlock","60711")</f>
        <v>60711</v>
      </c>
      <c r="E8" t="s">
        <v>66</v>
      </c>
      <c r="F8" t="str">
        <f>HYPERLINK("http://www.ncbi.nlm.nih.gov/Taxonomy/Browser/wwwtax.cgi?mode=Info&amp;id=60711&amp;lvl=3&amp;lin=f&amp;keep=1&amp;srchmode=1&amp;unlock","Chlorocebus sabaeus")</f>
        <v>Chlorocebus sabaeus</v>
      </c>
      <c r="G8" t="s">
        <v>78</v>
      </c>
      <c r="H8" t="str">
        <f>HYPERLINK("http://www.ncbi.nlm.nih.gov/protein/XP_008011530.1","mRNA export factor")</f>
        <v>mRNA export factor</v>
      </c>
      <c r="I8" t="s">
        <v>267</v>
      </c>
      <c r="J8" t="s">
        <v>69</v>
      </c>
      <c r="K8">
        <v>255</v>
      </c>
      <c r="L8" t="s">
        <v>151</v>
      </c>
      <c r="M8" t="s">
        <v>69</v>
      </c>
      <c r="N8" t="s">
        <v>152</v>
      </c>
      <c r="O8" t="s">
        <v>69</v>
      </c>
      <c r="P8">
        <v>165.19200000000001</v>
      </c>
      <c r="Q8" t="s">
        <v>69</v>
      </c>
      <c r="R8" t="s">
        <v>69</v>
      </c>
      <c r="S8">
        <v>300</v>
      </c>
      <c r="T8" t="s">
        <v>250</v>
      </c>
      <c r="U8" t="s">
        <v>69</v>
      </c>
      <c r="V8" t="s">
        <v>152</v>
      </c>
      <c r="W8" t="s">
        <v>69</v>
      </c>
      <c r="X8">
        <v>204.22800000000001</v>
      </c>
      <c r="Y8" t="s">
        <v>69</v>
      </c>
      <c r="Z8" t="s">
        <v>69</v>
      </c>
      <c r="AA8">
        <v>301</v>
      </c>
      <c r="AB8" t="s">
        <v>156</v>
      </c>
      <c r="AC8" t="s">
        <v>69</v>
      </c>
      <c r="AD8" t="s">
        <v>120</v>
      </c>
      <c r="AE8" t="s">
        <v>69</v>
      </c>
      <c r="AF8">
        <v>133.10400000000001</v>
      </c>
      <c r="AG8" t="s">
        <v>69</v>
      </c>
      <c r="AH8" t="s">
        <v>69</v>
      </c>
      <c r="AI8">
        <v>302</v>
      </c>
      <c r="AJ8" t="s">
        <v>76</v>
      </c>
      <c r="AK8" t="s">
        <v>69</v>
      </c>
      <c r="AL8" t="s">
        <v>75</v>
      </c>
      <c r="AM8" t="s">
        <v>69</v>
      </c>
      <c r="AN8">
        <v>146.18899999999999</v>
      </c>
      <c r="AO8" t="s">
        <v>69</v>
      </c>
      <c r="AP8" t="s">
        <v>69</v>
      </c>
      <c r="AQ8">
        <v>308</v>
      </c>
      <c r="AR8" t="s">
        <v>72</v>
      </c>
      <c r="AS8" t="s">
        <v>69</v>
      </c>
      <c r="AT8" t="s">
        <v>71</v>
      </c>
      <c r="AU8" t="s">
        <v>69</v>
      </c>
      <c r="AV8">
        <v>131.17500000000001</v>
      </c>
      <c r="AW8" t="s">
        <v>69</v>
      </c>
      <c r="AX8" t="s">
        <v>69</v>
      </c>
      <c r="AY8">
        <v>365</v>
      </c>
      <c r="AZ8" t="s">
        <v>74</v>
      </c>
      <c r="BA8" t="s">
        <v>69</v>
      </c>
      <c r="BB8" t="s">
        <v>75</v>
      </c>
      <c r="BC8" t="s">
        <v>69</v>
      </c>
      <c r="BD8">
        <v>174.203</v>
      </c>
      <c r="BE8" t="s">
        <v>69</v>
      </c>
      <c r="BF8" t="s">
        <v>69</v>
      </c>
    </row>
    <row r="9" spans="1:58" x14ac:dyDescent="0.25">
      <c r="A9">
        <v>7</v>
      </c>
      <c r="B9" t="str">
        <f>HYPERLINK("http://www.ncbi.nlm.nih.gov/protein/XP_042836031.1","XP_042836031.1")</f>
        <v>XP_042836031.1</v>
      </c>
      <c r="C9">
        <v>56089</v>
      </c>
      <c r="D9" t="str">
        <f>HYPERLINK("http://www.ncbi.nlm.nih.gov/Taxonomy/Browser/wwwtax.cgi?mode=Info&amp;id=9694&amp;lvl=3&amp;lin=f&amp;keep=1&amp;srchmode=1&amp;unlock","9694")</f>
        <v>9694</v>
      </c>
      <c r="E9" t="s">
        <v>66</v>
      </c>
      <c r="F9" t="str">
        <f>HYPERLINK("http://www.ncbi.nlm.nih.gov/Taxonomy/Browser/wwwtax.cgi?mode=Info&amp;id=9694&amp;lvl=3&amp;lin=f&amp;keep=1&amp;srchmode=1&amp;unlock","Panthera tigris")</f>
        <v>Panthera tigris</v>
      </c>
      <c r="G9" t="s">
        <v>89</v>
      </c>
      <c r="H9" t="str">
        <f>HYPERLINK("http://www.ncbi.nlm.nih.gov/protein/XP_042836031.1","mRNA export factor isoform X2")</f>
        <v>mRNA export factor isoform X2</v>
      </c>
      <c r="I9" t="s">
        <v>267</v>
      </c>
      <c r="J9" t="s">
        <v>69</v>
      </c>
      <c r="K9">
        <v>270</v>
      </c>
      <c r="L9" t="s">
        <v>151</v>
      </c>
      <c r="M9" t="s">
        <v>69</v>
      </c>
      <c r="N9" t="s">
        <v>152</v>
      </c>
      <c r="O9" t="s">
        <v>69</v>
      </c>
      <c r="P9">
        <v>165.19200000000001</v>
      </c>
      <c r="Q9" t="s">
        <v>69</v>
      </c>
      <c r="R9" t="s">
        <v>69</v>
      </c>
      <c r="S9">
        <v>315</v>
      </c>
      <c r="T9" t="s">
        <v>250</v>
      </c>
      <c r="U9" t="s">
        <v>69</v>
      </c>
      <c r="V9" t="s">
        <v>152</v>
      </c>
      <c r="W9" t="s">
        <v>69</v>
      </c>
      <c r="X9">
        <v>204.22800000000001</v>
      </c>
      <c r="Y9" t="s">
        <v>69</v>
      </c>
      <c r="Z9" t="s">
        <v>69</v>
      </c>
      <c r="AA9">
        <v>316</v>
      </c>
      <c r="AB9" t="s">
        <v>156</v>
      </c>
      <c r="AC9" t="s">
        <v>69</v>
      </c>
      <c r="AD9" t="s">
        <v>120</v>
      </c>
      <c r="AE9" t="s">
        <v>69</v>
      </c>
      <c r="AF9">
        <v>133.10400000000001</v>
      </c>
      <c r="AG9" t="s">
        <v>69</v>
      </c>
      <c r="AH9" t="s">
        <v>69</v>
      </c>
      <c r="AI9">
        <v>317</v>
      </c>
      <c r="AJ9" t="s">
        <v>76</v>
      </c>
      <c r="AK9" t="s">
        <v>69</v>
      </c>
      <c r="AL9" t="s">
        <v>75</v>
      </c>
      <c r="AM9" t="s">
        <v>69</v>
      </c>
      <c r="AN9">
        <v>146.18899999999999</v>
      </c>
      <c r="AO9" t="s">
        <v>69</v>
      </c>
      <c r="AP9" t="s">
        <v>69</v>
      </c>
      <c r="AQ9">
        <v>323</v>
      </c>
      <c r="AR9" t="s">
        <v>72</v>
      </c>
      <c r="AS9" t="s">
        <v>69</v>
      </c>
      <c r="AT9" t="s">
        <v>71</v>
      </c>
      <c r="AU9" t="s">
        <v>69</v>
      </c>
      <c r="AV9">
        <v>131.17500000000001</v>
      </c>
      <c r="AW9" t="s">
        <v>69</v>
      </c>
      <c r="AX9" t="s">
        <v>69</v>
      </c>
      <c r="AY9">
        <v>380</v>
      </c>
      <c r="AZ9" t="s">
        <v>74</v>
      </c>
      <c r="BA9" t="s">
        <v>69</v>
      </c>
      <c r="BB9" t="s">
        <v>75</v>
      </c>
      <c r="BC9" t="s">
        <v>69</v>
      </c>
      <c r="BD9">
        <v>174.203</v>
      </c>
      <c r="BE9" t="s">
        <v>69</v>
      </c>
      <c r="BF9" t="s">
        <v>69</v>
      </c>
    </row>
    <row r="10" spans="1:58" x14ac:dyDescent="0.25">
      <c r="A10">
        <v>7</v>
      </c>
      <c r="B10" t="str">
        <f>HYPERLINK("http://www.ncbi.nlm.nih.gov/protein/XP_042786525.1","XP_042786525.1")</f>
        <v>XP_042786525.1</v>
      </c>
      <c r="C10">
        <v>53677</v>
      </c>
      <c r="D10" t="str">
        <f>HYPERLINK("http://www.ncbi.nlm.nih.gov/Taxonomy/Browser/wwwtax.cgi?mode=Info&amp;id=9689&amp;lvl=3&amp;lin=f&amp;keep=1&amp;srchmode=1&amp;unlock","9689")</f>
        <v>9689</v>
      </c>
      <c r="E10" t="s">
        <v>66</v>
      </c>
      <c r="F10" t="str">
        <f>HYPERLINK("http://www.ncbi.nlm.nih.gov/Taxonomy/Browser/wwwtax.cgi?mode=Info&amp;id=9689&amp;lvl=3&amp;lin=f&amp;keep=1&amp;srchmode=1&amp;unlock","Panthera leo")</f>
        <v>Panthera leo</v>
      </c>
      <c r="G10" t="s">
        <v>90</v>
      </c>
      <c r="H10" t="str">
        <f>HYPERLINK("http://www.ncbi.nlm.nih.gov/protein/XP_042786525.1","mRNA export factor isoform X2")</f>
        <v>mRNA export factor isoform X2</v>
      </c>
      <c r="I10" t="s">
        <v>267</v>
      </c>
      <c r="J10" t="s">
        <v>69</v>
      </c>
      <c r="K10">
        <v>270</v>
      </c>
      <c r="L10" t="s">
        <v>151</v>
      </c>
      <c r="M10" t="s">
        <v>69</v>
      </c>
      <c r="N10" t="s">
        <v>152</v>
      </c>
      <c r="O10" t="s">
        <v>69</v>
      </c>
      <c r="P10">
        <v>165.19200000000001</v>
      </c>
      <c r="Q10" t="s">
        <v>69</v>
      </c>
      <c r="R10" t="s">
        <v>69</v>
      </c>
      <c r="S10">
        <v>315</v>
      </c>
      <c r="T10" t="s">
        <v>250</v>
      </c>
      <c r="U10" t="s">
        <v>69</v>
      </c>
      <c r="V10" t="s">
        <v>152</v>
      </c>
      <c r="W10" t="s">
        <v>69</v>
      </c>
      <c r="X10">
        <v>204.22800000000001</v>
      </c>
      <c r="Y10" t="s">
        <v>69</v>
      </c>
      <c r="Z10" t="s">
        <v>69</v>
      </c>
      <c r="AA10">
        <v>316</v>
      </c>
      <c r="AB10" t="s">
        <v>156</v>
      </c>
      <c r="AC10" t="s">
        <v>69</v>
      </c>
      <c r="AD10" t="s">
        <v>120</v>
      </c>
      <c r="AE10" t="s">
        <v>69</v>
      </c>
      <c r="AF10">
        <v>133.10400000000001</v>
      </c>
      <c r="AG10" t="s">
        <v>69</v>
      </c>
      <c r="AH10" t="s">
        <v>69</v>
      </c>
      <c r="AI10">
        <v>317</v>
      </c>
      <c r="AJ10" t="s">
        <v>76</v>
      </c>
      <c r="AK10" t="s">
        <v>69</v>
      </c>
      <c r="AL10" t="s">
        <v>75</v>
      </c>
      <c r="AM10" t="s">
        <v>69</v>
      </c>
      <c r="AN10">
        <v>146.18899999999999</v>
      </c>
      <c r="AO10" t="s">
        <v>69</v>
      </c>
      <c r="AP10" t="s">
        <v>69</v>
      </c>
      <c r="AQ10">
        <v>323</v>
      </c>
      <c r="AR10" t="s">
        <v>72</v>
      </c>
      <c r="AS10" t="s">
        <v>69</v>
      </c>
      <c r="AT10" t="s">
        <v>71</v>
      </c>
      <c r="AU10" t="s">
        <v>69</v>
      </c>
      <c r="AV10">
        <v>131.17500000000001</v>
      </c>
      <c r="AW10" t="s">
        <v>69</v>
      </c>
      <c r="AX10" t="s">
        <v>69</v>
      </c>
      <c r="AY10">
        <v>380</v>
      </c>
      <c r="AZ10" t="s">
        <v>74</v>
      </c>
      <c r="BA10" t="s">
        <v>69</v>
      </c>
      <c r="BB10" t="s">
        <v>75</v>
      </c>
      <c r="BC10" t="s">
        <v>69</v>
      </c>
      <c r="BD10">
        <v>174.203</v>
      </c>
      <c r="BE10" t="s">
        <v>69</v>
      </c>
      <c r="BF10" t="s">
        <v>69</v>
      </c>
    </row>
    <row r="11" spans="1:58" x14ac:dyDescent="0.25">
      <c r="A11">
        <v>7</v>
      </c>
      <c r="B11" t="str">
        <f>HYPERLINK("http://www.ncbi.nlm.nih.gov/protein/NP_001098766.1","NP_001098766.1")</f>
        <v>NP_001098766.1</v>
      </c>
      <c r="C11">
        <v>86952</v>
      </c>
      <c r="D11" t="str">
        <f>HYPERLINK("http://www.ncbi.nlm.nih.gov/Taxonomy/Browser/wwwtax.cgi?mode=Info&amp;id=9823&amp;lvl=3&amp;lin=f&amp;keep=1&amp;srchmode=1&amp;unlock","9823")</f>
        <v>9823</v>
      </c>
      <c r="E11" t="s">
        <v>66</v>
      </c>
      <c r="F11" t="str">
        <f>HYPERLINK("http://www.ncbi.nlm.nih.gov/Taxonomy/Browser/wwwtax.cgi?mode=Info&amp;id=9823&amp;lvl=3&amp;lin=f&amp;keep=1&amp;srchmode=1&amp;unlock","Sus scrofa")</f>
        <v>Sus scrofa</v>
      </c>
      <c r="G11" t="s">
        <v>85</v>
      </c>
      <c r="H11" t="str">
        <f>HYPERLINK("http://www.ncbi.nlm.nih.gov/protein/NP_001098766.1","mRNA export factor")</f>
        <v>mRNA export factor</v>
      </c>
      <c r="I11" t="s">
        <v>267</v>
      </c>
      <c r="J11" t="s">
        <v>69</v>
      </c>
      <c r="K11">
        <v>255</v>
      </c>
      <c r="L11" t="s">
        <v>151</v>
      </c>
      <c r="M11" t="s">
        <v>69</v>
      </c>
      <c r="N11" t="s">
        <v>152</v>
      </c>
      <c r="O11" t="s">
        <v>69</v>
      </c>
      <c r="P11">
        <v>165.19200000000001</v>
      </c>
      <c r="Q11" t="s">
        <v>69</v>
      </c>
      <c r="R11" t="s">
        <v>69</v>
      </c>
      <c r="S11">
        <v>300</v>
      </c>
      <c r="T11" t="s">
        <v>250</v>
      </c>
      <c r="U11" t="s">
        <v>69</v>
      </c>
      <c r="V11" t="s">
        <v>152</v>
      </c>
      <c r="W11" t="s">
        <v>69</v>
      </c>
      <c r="X11">
        <v>204.22800000000001</v>
      </c>
      <c r="Y11" t="s">
        <v>69</v>
      </c>
      <c r="Z11" t="s">
        <v>69</v>
      </c>
      <c r="AA11">
        <v>301</v>
      </c>
      <c r="AB11" t="s">
        <v>156</v>
      </c>
      <c r="AC11" t="s">
        <v>69</v>
      </c>
      <c r="AD11" t="s">
        <v>120</v>
      </c>
      <c r="AE11" t="s">
        <v>69</v>
      </c>
      <c r="AF11">
        <v>133.10400000000001</v>
      </c>
      <c r="AG11" t="s">
        <v>69</v>
      </c>
      <c r="AH11" t="s">
        <v>69</v>
      </c>
      <c r="AI11">
        <v>302</v>
      </c>
      <c r="AJ11" t="s">
        <v>76</v>
      </c>
      <c r="AK11" t="s">
        <v>69</v>
      </c>
      <c r="AL11" t="s">
        <v>75</v>
      </c>
      <c r="AM11" t="s">
        <v>69</v>
      </c>
      <c r="AN11">
        <v>146.18899999999999</v>
      </c>
      <c r="AO11" t="s">
        <v>69</v>
      </c>
      <c r="AP11" t="s">
        <v>69</v>
      </c>
      <c r="AQ11">
        <v>308</v>
      </c>
      <c r="AR11" t="s">
        <v>72</v>
      </c>
      <c r="AS11" t="s">
        <v>69</v>
      </c>
      <c r="AT11" t="s">
        <v>71</v>
      </c>
      <c r="AU11" t="s">
        <v>69</v>
      </c>
      <c r="AV11">
        <v>131.17500000000001</v>
      </c>
      <c r="AW11" t="s">
        <v>69</v>
      </c>
      <c r="AX11" t="s">
        <v>69</v>
      </c>
      <c r="AY11">
        <v>365</v>
      </c>
      <c r="AZ11" t="s">
        <v>74</v>
      </c>
      <c r="BA11" t="s">
        <v>69</v>
      </c>
      <c r="BB11" t="s">
        <v>75</v>
      </c>
      <c r="BC11" t="s">
        <v>69</v>
      </c>
      <c r="BD11">
        <v>174.203</v>
      </c>
      <c r="BE11" t="s">
        <v>69</v>
      </c>
      <c r="BF11" t="s">
        <v>69</v>
      </c>
    </row>
    <row r="12" spans="1:58" x14ac:dyDescent="0.25">
      <c r="A12">
        <v>7</v>
      </c>
      <c r="B12" t="str">
        <f>HYPERLINK("http://www.ncbi.nlm.nih.gov/protein/XP_003983399.1","XP_003983399.1")</f>
        <v>XP_003983399.1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HYPERLINK("http://www.ncbi.nlm.nih.gov/protein/XP_003983399.1","mRNA export factor")</f>
        <v>mRNA export factor</v>
      </c>
      <c r="I12" t="s">
        <v>267</v>
      </c>
      <c r="J12" t="s">
        <v>69</v>
      </c>
      <c r="K12">
        <v>255</v>
      </c>
      <c r="L12" t="s">
        <v>151</v>
      </c>
      <c r="M12" t="s">
        <v>69</v>
      </c>
      <c r="N12" t="s">
        <v>152</v>
      </c>
      <c r="O12" t="s">
        <v>69</v>
      </c>
      <c r="P12">
        <v>165.19200000000001</v>
      </c>
      <c r="Q12" t="s">
        <v>69</v>
      </c>
      <c r="R12" t="s">
        <v>69</v>
      </c>
      <c r="S12">
        <v>300</v>
      </c>
      <c r="T12" t="s">
        <v>250</v>
      </c>
      <c r="U12" t="s">
        <v>69</v>
      </c>
      <c r="V12" t="s">
        <v>152</v>
      </c>
      <c r="W12" t="s">
        <v>69</v>
      </c>
      <c r="X12">
        <v>204.22800000000001</v>
      </c>
      <c r="Y12" t="s">
        <v>69</v>
      </c>
      <c r="Z12" t="s">
        <v>69</v>
      </c>
      <c r="AA12">
        <v>301</v>
      </c>
      <c r="AB12" t="s">
        <v>156</v>
      </c>
      <c r="AC12" t="s">
        <v>69</v>
      </c>
      <c r="AD12" t="s">
        <v>120</v>
      </c>
      <c r="AE12" t="s">
        <v>69</v>
      </c>
      <c r="AF12">
        <v>133.10400000000001</v>
      </c>
      <c r="AG12" t="s">
        <v>69</v>
      </c>
      <c r="AH12" t="s">
        <v>69</v>
      </c>
      <c r="AI12">
        <v>302</v>
      </c>
      <c r="AJ12" t="s">
        <v>76</v>
      </c>
      <c r="AK12" t="s">
        <v>69</v>
      </c>
      <c r="AL12" t="s">
        <v>75</v>
      </c>
      <c r="AM12" t="s">
        <v>69</v>
      </c>
      <c r="AN12">
        <v>146.18899999999999</v>
      </c>
      <c r="AO12" t="s">
        <v>69</v>
      </c>
      <c r="AP12" t="s">
        <v>69</v>
      </c>
      <c r="AQ12">
        <v>308</v>
      </c>
      <c r="AR12" t="s">
        <v>72</v>
      </c>
      <c r="AS12" t="s">
        <v>69</v>
      </c>
      <c r="AT12" t="s">
        <v>71</v>
      </c>
      <c r="AU12" t="s">
        <v>69</v>
      </c>
      <c r="AV12">
        <v>131.17500000000001</v>
      </c>
      <c r="AW12" t="s">
        <v>69</v>
      </c>
      <c r="AX12" t="s">
        <v>69</v>
      </c>
      <c r="AY12">
        <v>365</v>
      </c>
      <c r="AZ12" t="s">
        <v>74</v>
      </c>
      <c r="BA12" t="s">
        <v>69</v>
      </c>
      <c r="BB12" t="s">
        <v>75</v>
      </c>
      <c r="BC12" t="s">
        <v>69</v>
      </c>
      <c r="BD12">
        <v>174.203</v>
      </c>
      <c r="BE12" t="s">
        <v>69</v>
      </c>
      <c r="BF12" t="s">
        <v>69</v>
      </c>
    </row>
    <row r="13" spans="1:58" x14ac:dyDescent="0.25">
      <c r="A13">
        <v>7</v>
      </c>
      <c r="B13" t="str">
        <f>HYPERLINK("http://www.ncbi.nlm.nih.gov/protein/XP_025787796.1","XP_025787796.1")</f>
        <v>XP_025787796.1</v>
      </c>
      <c r="C13">
        <v>23623</v>
      </c>
      <c r="D13" t="str">
        <f>HYPERLINK("http://www.ncbi.nlm.nih.gov/Taxonomy/Browser/wwwtax.cgi?mode=Info&amp;id=9696&amp;lvl=3&amp;lin=f&amp;keep=1&amp;srchmode=1&amp;unlock","9696")</f>
        <v>9696</v>
      </c>
      <c r="E13" t="s">
        <v>66</v>
      </c>
      <c r="F13" t="str">
        <f>HYPERLINK("http://www.ncbi.nlm.nih.gov/Taxonomy/Browser/wwwtax.cgi?mode=Info&amp;id=9696&amp;lvl=3&amp;lin=f&amp;keep=1&amp;srchmode=1&amp;unlock","Puma concolor")</f>
        <v>Puma concolor</v>
      </c>
      <c r="G13" t="s">
        <v>91</v>
      </c>
      <c r="H13" t="str">
        <f>HYPERLINK("http://www.ncbi.nlm.nih.gov/protein/XP_025787796.1","mRNA export factor")</f>
        <v>mRNA export factor</v>
      </c>
      <c r="I13" t="s">
        <v>267</v>
      </c>
      <c r="J13" t="s">
        <v>69</v>
      </c>
      <c r="K13">
        <v>255</v>
      </c>
      <c r="L13" t="s">
        <v>151</v>
      </c>
      <c r="M13" t="s">
        <v>69</v>
      </c>
      <c r="N13" t="s">
        <v>152</v>
      </c>
      <c r="O13" t="s">
        <v>69</v>
      </c>
      <c r="P13">
        <v>165.19200000000001</v>
      </c>
      <c r="Q13" t="s">
        <v>69</v>
      </c>
      <c r="R13" t="s">
        <v>69</v>
      </c>
      <c r="S13">
        <v>300</v>
      </c>
      <c r="T13" t="s">
        <v>250</v>
      </c>
      <c r="U13" t="s">
        <v>69</v>
      </c>
      <c r="V13" t="s">
        <v>152</v>
      </c>
      <c r="W13" t="s">
        <v>69</v>
      </c>
      <c r="X13">
        <v>204.22800000000001</v>
      </c>
      <c r="Y13" t="s">
        <v>69</v>
      </c>
      <c r="Z13" t="s">
        <v>69</v>
      </c>
      <c r="AA13">
        <v>301</v>
      </c>
      <c r="AB13" t="s">
        <v>156</v>
      </c>
      <c r="AC13" t="s">
        <v>69</v>
      </c>
      <c r="AD13" t="s">
        <v>120</v>
      </c>
      <c r="AE13" t="s">
        <v>69</v>
      </c>
      <c r="AF13">
        <v>133.10400000000001</v>
      </c>
      <c r="AG13" t="s">
        <v>69</v>
      </c>
      <c r="AH13" t="s">
        <v>69</v>
      </c>
      <c r="AI13">
        <v>302</v>
      </c>
      <c r="AJ13" t="s">
        <v>76</v>
      </c>
      <c r="AK13" t="s">
        <v>69</v>
      </c>
      <c r="AL13" t="s">
        <v>75</v>
      </c>
      <c r="AM13" t="s">
        <v>69</v>
      </c>
      <c r="AN13">
        <v>146.18899999999999</v>
      </c>
      <c r="AO13" t="s">
        <v>69</v>
      </c>
      <c r="AP13" t="s">
        <v>69</v>
      </c>
      <c r="AQ13">
        <v>308</v>
      </c>
      <c r="AR13" t="s">
        <v>72</v>
      </c>
      <c r="AS13" t="s">
        <v>69</v>
      </c>
      <c r="AT13" t="s">
        <v>71</v>
      </c>
      <c r="AU13" t="s">
        <v>69</v>
      </c>
      <c r="AV13">
        <v>131.17500000000001</v>
      </c>
      <c r="AW13" t="s">
        <v>69</v>
      </c>
      <c r="AX13" t="s">
        <v>69</v>
      </c>
      <c r="AY13">
        <v>365</v>
      </c>
      <c r="AZ13" t="s">
        <v>74</v>
      </c>
      <c r="BA13" t="s">
        <v>69</v>
      </c>
      <c r="BB13" t="s">
        <v>75</v>
      </c>
      <c r="BC13" t="s">
        <v>69</v>
      </c>
      <c r="BD13">
        <v>174.203</v>
      </c>
      <c r="BE13" t="s">
        <v>69</v>
      </c>
      <c r="BF13" t="s">
        <v>69</v>
      </c>
    </row>
    <row r="14" spans="1:58" x14ac:dyDescent="0.25">
      <c r="A14">
        <v>7</v>
      </c>
      <c r="B14" t="str">
        <f>HYPERLINK("http://www.ncbi.nlm.nih.gov/protein/CAD7669206.1","CAD7669206.1")</f>
        <v>CAD7669206.1</v>
      </c>
      <c r="C14">
        <v>27271</v>
      </c>
      <c r="D14" t="str">
        <f>HYPERLINK("http://www.ncbi.nlm.nih.gov/Taxonomy/Browser/wwwtax.cgi?mode=Info&amp;id=34880&amp;lvl=3&amp;lin=f&amp;keep=1&amp;srchmode=1&amp;unlock","34880")</f>
        <v>34880</v>
      </c>
      <c r="E14" t="s">
        <v>66</v>
      </c>
      <c r="F14" t="str">
        <f>HYPERLINK("http://www.ncbi.nlm.nih.gov/Taxonomy/Browser/wwwtax.cgi?mode=Info&amp;id=34880&amp;lvl=3&amp;lin=f&amp;keep=1&amp;srchmode=1&amp;unlock","Nyctereutes procyonoides")</f>
        <v>Nyctereutes procyonoides</v>
      </c>
      <c r="G14" t="s">
        <v>92</v>
      </c>
      <c r="H14" t="str">
        <f>HYPERLINK("http://www.ncbi.nlm.nih.gov/protein/CAD7669206.1","unnamed protein product")</f>
        <v>unnamed protein product</v>
      </c>
      <c r="I14" t="s">
        <v>267</v>
      </c>
      <c r="J14" t="s">
        <v>69</v>
      </c>
      <c r="K14">
        <v>255</v>
      </c>
      <c r="L14" t="s">
        <v>151</v>
      </c>
      <c r="M14" t="s">
        <v>69</v>
      </c>
      <c r="N14" t="s">
        <v>152</v>
      </c>
      <c r="O14" t="s">
        <v>69</v>
      </c>
      <c r="P14">
        <v>165.19200000000001</v>
      </c>
      <c r="Q14" t="s">
        <v>69</v>
      </c>
      <c r="R14" t="s">
        <v>69</v>
      </c>
      <c r="S14">
        <v>300</v>
      </c>
      <c r="T14" t="s">
        <v>250</v>
      </c>
      <c r="U14" t="s">
        <v>69</v>
      </c>
      <c r="V14" t="s">
        <v>152</v>
      </c>
      <c r="W14" t="s">
        <v>69</v>
      </c>
      <c r="X14">
        <v>204.22800000000001</v>
      </c>
      <c r="Y14" t="s">
        <v>69</v>
      </c>
      <c r="Z14" t="s">
        <v>69</v>
      </c>
      <c r="AA14">
        <v>301</v>
      </c>
      <c r="AB14" t="s">
        <v>156</v>
      </c>
      <c r="AC14" t="s">
        <v>69</v>
      </c>
      <c r="AD14" t="s">
        <v>120</v>
      </c>
      <c r="AE14" t="s">
        <v>69</v>
      </c>
      <c r="AF14">
        <v>133.10400000000001</v>
      </c>
      <c r="AG14" t="s">
        <v>69</v>
      </c>
      <c r="AH14" t="s">
        <v>69</v>
      </c>
      <c r="AI14">
        <v>302</v>
      </c>
      <c r="AJ14" t="s">
        <v>76</v>
      </c>
      <c r="AK14" t="s">
        <v>69</v>
      </c>
      <c r="AL14" t="s">
        <v>75</v>
      </c>
      <c r="AM14" t="s">
        <v>69</v>
      </c>
      <c r="AN14">
        <v>146.18899999999999</v>
      </c>
      <c r="AO14" t="s">
        <v>69</v>
      </c>
      <c r="AP14" t="s">
        <v>69</v>
      </c>
      <c r="AQ14">
        <v>308</v>
      </c>
      <c r="AR14" t="s">
        <v>72</v>
      </c>
      <c r="AS14" t="s">
        <v>69</v>
      </c>
      <c r="AT14" t="s">
        <v>71</v>
      </c>
      <c r="AU14" t="s">
        <v>69</v>
      </c>
      <c r="AV14">
        <v>131.17500000000001</v>
      </c>
      <c r="AW14" t="s">
        <v>69</v>
      </c>
      <c r="AX14" t="s">
        <v>69</v>
      </c>
      <c r="AY14">
        <v>365</v>
      </c>
      <c r="AZ14" t="s">
        <v>74</v>
      </c>
      <c r="BA14" t="s">
        <v>69</v>
      </c>
      <c r="BB14" t="s">
        <v>75</v>
      </c>
      <c r="BC14" t="s">
        <v>69</v>
      </c>
      <c r="BD14">
        <v>174.203</v>
      </c>
      <c r="BE14" t="s">
        <v>69</v>
      </c>
      <c r="BF14" t="s">
        <v>69</v>
      </c>
    </row>
    <row r="15" spans="1:58" x14ac:dyDescent="0.25">
      <c r="A15">
        <v>7</v>
      </c>
      <c r="B15" t="str">
        <f>HYPERLINK("http://www.ncbi.nlm.nih.gov/protein/XP_030165194.1","XP_030165194.1")</f>
        <v>XP_030165194.1</v>
      </c>
      <c r="C15">
        <v>42175</v>
      </c>
      <c r="D15" t="str">
        <f>HYPERLINK("http://www.ncbi.nlm.nih.gov/Taxonomy/Browser/wwwtax.cgi?mode=Info&amp;id=61383&amp;lvl=3&amp;lin=f&amp;keep=1&amp;srchmode=1&amp;unlock","61383")</f>
        <v>61383</v>
      </c>
      <c r="E15" t="s">
        <v>66</v>
      </c>
      <c r="F15" t="str">
        <f>HYPERLINK("http://www.ncbi.nlm.nih.gov/Taxonomy/Browser/wwwtax.cgi?mode=Info&amp;id=61383&amp;lvl=3&amp;lin=f&amp;keep=1&amp;srchmode=1&amp;unlock","Lynx canadensis")</f>
        <v>Lynx canadensis</v>
      </c>
      <c r="G15" t="s">
        <v>105</v>
      </c>
      <c r="H15" t="str">
        <f>HYPERLINK("http://www.ncbi.nlm.nih.gov/protein/XP_030165194.1","mRNA export factor")</f>
        <v>mRNA export factor</v>
      </c>
      <c r="I15" t="s">
        <v>267</v>
      </c>
      <c r="J15" t="s">
        <v>69</v>
      </c>
      <c r="K15">
        <v>255</v>
      </c>
      <c r="L15" t="s">
        <v>151</v>
      </c>
      <c r="M15" t="s">
        <v>69</v>
      </c>
      <c r="N15" t="s">
        <v>152</v>
      </c>
      <c r="O15" t="s">
        <v>69</v>
      </c>
      <c r="P15">
        <v>165.19200000000001</v>
      </c>
      <c r="Q15" t="s">
        <v>69</v>
      </c>
      <c r="R15" t="s">
        <v>69</v>
      </c>
      <c r="S15">
        <v>300</v>
      </c>
      <c r="T15" t="s">
        <v>250</v>
      </c>
      <c r="U15" t="s">
        <v>69</v>
      </c>
      <c r="V15" t="s">
        <v>152</v>
      </c>
      <c r="W15" t="s">
        <v>69</v>
      </c>
      <c r="X15">
        <v>204.22800000000001</v>
      </c>
      <c r="Y15" t="s">
        <v>69</v>
      </c>
      <c r="Z15" t="s">
        <v>69</v>
      </c>
      <c r="AA15">
        <v>301</v>
      </c>
      <c r="AB15" t="s">
        <v>156</v>
      </c>
      <c r="AC15" t="s">
        <v>69</v>
      </c>
      <c r="AD15" t="s">
        <v>120</v>
      </c>
      <c r="AE15" t="s">
        <v>69</v>
      </c>
      <c r="AF15">
        <v>133.10400000000001</v>
      </c>
      <c r="AG15" t="s">
        <v>69</v>
      </c>
      <c r="AH15" t="s">
        <v>69</v>
      </c>
      <c r="AI15">
        <v>302</v>
      </c>
      <c r="AJ15" t="s">
        <v>76</v>
      </c>
      <c r="AK15" t="s">
        <v>69</v>
      </c>
      <c r="AL15" t="s">
        <v>75</v>
      </c>
      <c r="AM15" t="s">
        <v>69</v>
      </c>
      <c r="AN15">
        <v>146.18899999999999</v>
      </c>
      <c r="AO15" t="s">
        <v>69</v>
      </c>
      <c r="AP15" t="s">
        <v>69</v>
      </c>
      <c r="AQ15">
        <v>308</v>
      </c>
      <c r="AR15" t="s">
        <v>72</v>
      </c>
      <c r="AS15" t="s">
        <v>69</v>
      </c>
      <c r="AT15" t="s">
        <v>71</v>
      </c>
      <c r="AU15" t="s">
        <v>69</v>
      </c>
      <c r="AV15">
        <v>131.17500000000001</v>
      </c>
      <c r="AW15" t="s">
        <v>69</v>
      </c>
      <c r="AX15" t="s">
        <v>69</v>
      </c>
      <c r="AY15">
        <v>365</v>
      </c>
      <c r="AZ15" t="s">
        <v>74</v>
      </c>
      <c r="BA15" t="s">
        <v>69</v>
      </c>
      <c r="BB15" t="s">
        <v>75</v>
      </c>
      <c r="BC15" t="s">
        <v>69</v>
      </c>
      <c r="BD15">
        <v>174.203</v>
      </c>
      <c r="BE15" t="s">
        <v>69</v>
      </c>
      <c r="BF15" t="s">
        <v>69</v>
      </c>
    </row>
    <row r="16" spans="1:58" x14ac:dyDescent="0.25">
      <c r="A16">
        <v>7</v>
      </c>
      <c r="B16" t="str">
        <f>HYPERLINK("http://www.ncbi.nlm.nih.gov/protein/XP_047709098.1","XP_047709098.1")</f>
        <v>XP_047709098.1</v>
      </c>
      <c r="C16">
        <v>56399</v>
      </c>
      <c r="D16" t="str">
        <f>HYPERLINK("http://www.ncbi.nlm.nih.gov/Taxonomy/Browser/wwwtax.cgi?mode=Info&amp;id=61388&amp;lvl=3&amp;lin=f&amp;keep=1&amp;srchmode=1&amp;unlock","61388")</f>
        <v>61388</v>
      </c>
      <c r="E16" t="s">
        <v>66</v>
      </c>
      <c r="F16" t="str">
        <f>HYPERLINK("http://www.ncbi.nlm.nih.gov/Taxonomy/Browser/wwwtax.cgi?mode=Info&amp;id=61388&amp;lvl=3&amp;lin=f&amp;keep=1&amp;srchmode=1&amp;unlock","Prionailurus viverrinus")</f>
        <v>Prionailurus viverrinus</v>
      </c>
      <c r="G16" t="s">
        <v>94</v>
      </c>
      <c r="H16" t="str">
        <f>HYPERLINK("http://www.ncbi.nlm.nih.gov/protein/XP_047709098.1","mRNA export factor")</f>
        <v>mRNA export factor</v>
      </c>
      <c r="I16" t="s">
        <v>267</v>
      </c>
      <c r="J16" t="s">
        <v>69</v>
      </c>
      <c r="K16">
        <v>255</v>
      </c>
      <c r="L16" t="s">
        <v>151</v>
      </c>
      <c r="M16" t="s">
        <v>69</v>
      </c>
      <c r="N16" t="s">
        <v>152</v>
      </c>
      <c r="O16" t="s">
        <v>69</v>
      </c>
      <c r="P16">
        <v>165.19200000000001</v>
      </c>
      <c r="Q16" t="s">
        <v>69</v>
      </c>
      <c r="R16" t="s">
        <v>69</v>
      </c>
      <c r="S16">
        <v>300</v>
      </c>
      <c r="T16" t="s">
        <v>250</v>
      </c>
      <c r="U16" t="s">
        <v>69</v>
      </c>
      <c r="V16" t="s">
        <v>152</v>
      </c>
      <c r="W16" t="s">
        <v>69</v>
      </c>
      <c r="X16">
        <v>204.22800000000001</v>
      </c>
      <c r="Y16" t="s">
        <v>69</v>
      </c>
      <c r="Z16" t="s">
        <v>69</v>
      </c>
      <c r="AA16">
        <v>301</v>
      </c>
      <c r="AB16" t="s">
        <v>156</v>
      </c>
      <c r="AC16" t="s">
        <v>69</v>
      </c>
      <c r="AD16" t="s">
        <v>120</v>
      </c>
      <c r="AE16" t="s">
        <v>69</v>
      </c>
      <c r="AF16">
        <v>133.10400000000001</v>
      </c>
      <c r="AG16" t="s">
        <v>69</v>
      </c>
      <c r="AH16" t="s">
        <v>69</v>
      </c>
      <c r="AI16">
        <v>302</v>
      </c>
      <c r="AJ16" t="s">
        <v>76</v>
      </c>
      <c r="AK16" t="s">
        <v>69</v>
      </c>
      <c r="AL16" t="s">
        <v>75</v>
      </c>
      <c r="AM16" t="s">
        <v>69</v>
      </c>
      <c r="AN16">
        <v>146.18899999999999</v>
      </c>
      <c r="AO16" t="s">
        <v>69</v>
      </c>
      <c r="AP16" t="s">
        <v>69</v>
      </c>
      <c r="AQ16">
        <v>308</v>
      </c>
      <c r="AR16" t="s">
        <v>72</v>
      </c>
      <c r="AS16" t="s">
        <v>69</v>
      </c>
      <c r="AT16" t="s">
        <v>71</v>
      </c>
      <c r="AU16" t="s">
        <v>69</v>
      </c>
      <c r="AV16">
        <v>131.17500000000001</v>
      </c>
      <c r="AW16" t="s">
        <v>69</v>
      </c>
      <c r="AX16" t="s">
        <v>69</v>
      </c>
      <c r="AY16">
        <v>365</v>
      </c>
      <c r="AZ16" t="s">
        <v>74</v>
      </c>
      <c r="BA16" t="s">
        <v>69</v>
      </c>
      <c r="BB16" t="s">
        <v>75</v>
      </c>
      <c r="BC16" t="s">
        <v>69</v>
      </c>
      <c r="BD16">
        <v>174.203</v>
      </c>
      <c r="BE16" t="s">
        <v>69</v>
      </c>
      <c r="BF16" t="s">
        <v>69</v>
      </c>
    </row>
    <row r="17" spans="1:58" x14ac:dyDescent="0.25">
      <c r="A17">
        <v>7</v>
      </c>
      <c r="B17" t="str">
        <f>HYPERLINK("http://www.ncbi.nlm.nih.gov/protein/XP_005635264.1","XP_005635264.1")</f>
        <v>XP_005635264.1</v>
      </c>
      <c r="C17">
        <v>136357</v>
      </c>
      <c r="D17" t="str">
        <f>HYPERLINK("http://www.ncbi.nlm.nih.gov/Taxonomy/Browser/wwwtax.cgi?mode=Info&amp;id=9615&amp;lvl=3&amp;lin=f&amp;keep=1&amp;srchmode=1&amp;unlock","9615")</f>
        <v>9615</v>
      </c>
      <c r="E17" t="s">
        <v>66</v>
      </c>
      <c r="F17" t="str">
        <f>HYPERLINK("http://www.ncbi.nlm.nih.gov/Taxonomy/Browser/wwwtax.cgi?mode=Info&amp;id=9615&amp;lvl=3&amp;lin=f&amp;keep=1&amp;srchmode=1&amp;unlock","Canis lupus familiaris")</f>
        <v>Canis lupus familiaris</v>
      </c>
      <c r="G17" t="s">
        <v>84</v>
      </c>
      <c r="H17" t="str">
        <f>HYPERLINK("http://www.ncbi.nlm.nih.gov/protein/XP_005635264.1","mRNA export factor isoform X1")</f>
        <v>mRNA export factor isoform X1</v>
      </c>
      <c r="I17" t="s">
        <v>267</v>
      </c>
      <c r="J17" t="s">
        <v>69</v>
      </c>
      <c r="K17">
        <v>255</v>
      </c>
      <c r="L17" t="s">
        <v>151</v>
      </c>
      <c r="M17" t="s">
        <v>69</v>
      </c>
      <c r="N17" t="s">
        <v>152</v>
      </c>
      <c r="O17" t="s">
        <v>69</v>
      </c>
      <c r="P17">
        <v>165.19200000000001</v>
      </c>
      <c r="Q17" t="s">
        <v>69</v>
      </c>
      <c r="R17" t="s">
        <v>69</v>
      </c>
      <c r="S17">
        <v>300</v>
      </c>
      <c r="T17" t="s">
        <v>250</v>
      </c>
      <c r="U17" t="s">
        <v>69</v>
      </c>
      <c r="V17" t="s">
        <v>152</v>
      </c>
      <c r="W17" t="s">
        <v>69</v>
      </c>
      <c r="X17">
        <v>204.22800000000001</v>
      </c>
      <c r="Y17" t="s">
        <v>69</v>
      </c>
      <c r="Z17" t="s">
        <v>69</v>
      </c>
      <c r="AA17">
        <v>301</v>
      </c>
      <c r="AB17" t="s">
        <v>156</v>
      </c>
      <c r="AC17" t="s">
        <v>69</v>
      </c>
      <c r="AD17" t="s">
        <v>120</v>
      </c>
      <c r="AE17" t="s">
        <v>69</v>
      </c>
      <c r="AF17">
        <v>133.10400000000001</v>
      </c>
      <c r="AG17" t="s">
        <v>69</v>
      </c>
      <c r="AH17" t="s">
        <v>69</v>
      </c>
      <c r="AI17">
        <v>302</v>
      </c>
      <c r="AJ17" t="s">
        <v>76</v>
      </c>
      <c r="AK17" t="s">
        <v>69</v>
      </c>
      <c r="AL17" t="s">
        <v>75</v>
      </c>
      <c r="AM17" t="s">
        <v>69</v>
      </c>
      <c r="AN17">
        <v>146.18899999999999</v>
      </c>
      <c r="AO17" t="s">
        <v>69</v>
      </c>
      <c r="AP17" t="s">
        <v>69</v>
      </c>
      <c r="AQ17">
        <v>308</v>
      </c>
      <c r="AR17" t="s">
        <v>72</v>
      </c>
      <c r="AS17" t="s">
        <v>69</v>
      </c>
      <c r="AT17" t="s">
        <v>71</v>
      </c>
      <c r="AU17" t="s">
        <v>69</v>
      </c>
      <c r="AV17">
        <v>131.17500000000001</v>
      </c>
      <c r="AW17" t="s">
        <v>69</v>
      </c>
      <c r="AX17" t="s">
        <v>69</v>
      </c>
      <c r="AY17">
        <v>365</v>
      </c>
      <c r="AZ17" t="s">
        <v>74</v>
      </c>
      <c r="BA17" t="s">
        <v>69</v>
      </c>
      <c r="BB17" t="s">
        <v>75</v>
      </c>
      <c r="BC17" t="s">
        <v>69</v>
      </c>
      <c r="BD17">
        <v>174.203</v>
      </c>
      <c r="BE17" t="s">
        <v>69</v>
      </c>
      <c r="BF17" t="s">
        <v>69</v>
      </c>
    </row>
    <row r="18" spans="1:58" x14ac:dyDescent="0.25">
      <c r="A18">
        <v>7</v>
      </c>
      <c r="B18" t="str">
        <f>HYPERLINK("http://www.ncbi.nlm.nih.gov/protein/XP_025870846.1","XP_025870846.1")</f>
        <v>XP_025870846.1</v>
      </c>
      <c r="C18">
        <v>38435</v>
      </c>
      <c r="D18" t="str">
        <f>HYPERLINK("http://www.ncbi.nlm.nih.gov/Taxonomy/Browser/wwwtax.cgi?mode=Info&amp;id=9627&amp;lvl=3&amp;lin=f&amp;keep=1&amp;srchmode=1&amp;unlock","9627")</f>
        <v>9627</v>
      </c>
      <c r="E18" t="s">
        <v>66</v>
      </c>
      <c r="F18" t="str">
        <f>HYPERLINK("http://www.ncbi.nlm.nih.gov/Taxonomy/Browser/wwwtax.cgi?mode=Info&amp;id=9627&amp;lvl=3&amp;lin=f&amp;keep=1&amp;srchmode=1&amp;unlock","Vulpes vulpes")</f>
        <v>Vulpes vulpes</v>
      </c>
      <c r="G18" t="s">
        <v>95</v>
      </c>
      <c r="H18" t="str">
        <f>HYPERLINK("http://www.ncbi.nlm.nih.gov/protein/XP_025870846.1","mRNA export factor")</f>
        <v>mRNA export factor</v>
      </c>
      <c r="I18" t="s">
        <v>267</v>
      </c>
      <c r="J18" t="s">
        <v>69</v>
      </c>
      <c r="K18">
        <v>255</v>
      </c>
      <c r="L18" t="s">
        <v>151</v>
      </c>
      <c r="M18" t="s">
        <v>69</v>
      </c>
      <c r="N18" t="s">
        <v>152</v>
      </c>
      <c r="O18" t="s">
        <v>69</v>
      </c>
      <c r="P18">
        <v>165.19200000000001</v>
      </c>
      <c r="Q18" t="s">
        <v>69</v>
      </c>
      <c r="R18" t="s">
        <v>69</v>
      </c>
      <c r="S18">
        <v>300</v>
      </c>
      <c r="T18" t="s">
        <v>250</v>
      </c>
      <c r="U18" t="s">
        <v>69</v>
      </c>
      <c r="V18" t="s">
        <v>152</v>
      </c>
      <c r="W18" t="s">
        <v>69</v>
      </c>
      <c r="X18">
        <v>204.22800000000001</v>
      </c>
      <c r="Y18" t="s">
        <v>69</v>
      </c>
      <c r="Z18" t="s">
        <v>69</v>
      </c>
      <c r="AA18">
        <v>301</v>
      </c>
      <c r="AB18" t="s">
        <v>156</v>
      </c>
      <c r="AC18" t="s">
        <v>69</v>
      </c>
      <c r="AD18" t="s">
        <v>120</v>
      </c>
      <c r="AE18" t="s">
        <v>69</v>
      </c>
      <c r="AF18">
        <v>133.10400000000001</v>
      </c>
      <c r="AG18" t="s">
        <v>69</v>
      </c>
      <c r="AH18" t="s">
        <v>69</v>
      </c>
      <c r="AI18">
        <v>302</v>
      </c>
      <c r="AJ18" t="s">
        <v>76</v>
      </c>
      <c r="AK18" t="s">
        <v>69</v>
      </c>
      <c r="AL18" t="s">
        <v>75</v>
      </c>
      <c r="AM18" t="s">
        <v>69</v>
      </c>
      <c r="AN18">
        <v>146.18899999999999</v>
      </c>
      <c r="AO18" t="s">
        <v>69</v>
      </c>
      <c r="AP18" t="s">
        <v>69</v>
      </c>
      <c r="AQ18">
        <v>308</v>
      </c>
      <c r="AR18" t="s">
        <v>72</v>
      </c>
      <c r="AS18" t="s">
        <v>69</v>
      </c>
      <c r="AT18" t="s">
        <v>71</v>
      </c>
      <c r="AU18" t="s">
        <v>69</v>
      </c>
      <c r="AV18">
        <v>131.17500000000001</v>
      </c>
      <c r="AW18" t="s">
        <v>69</v>
      </c>
      <c r="AX18" t="s">
        <v>69</v>
      </c>
      <c r="AY18">
        <v>365</v>
      </c>
      <c r="AZ18" t="s">
        <v>74</v>
      </c>
      <c r="BA18" t="s">
        <v>69</v>
      </c>
      <c r="BB18" t="s">
        <v>75</v>
      </c>
      <c r="BC18" t="s">
        <v>69</v>
      </c>
      <c r="BD18">
        <v>174.203</v>
      </c>
      <c r="BE18" t="s">
        <v>69</v>
      </c>
      <c r="BF18" t="s">
        <v>69</v>
      </c>
    </row>
    <row r="19" spans="1:58" x14ac:dyDescent="0.25">
      <c r="A19">
        <v>7</v>
      </c>
      <c r="B19" t="str">
        <f>HYPERLINK("http://www.ncbi.nlm.nih.gov/protein/XP_046924736.1","XP_046924736.1")</f>
        <v>XP_046924736.1</v>
      </c>
      <c r="C19">
        <v>38764</v>
      </c>
      <c r="D19" t="str">
        <f>HYPERLINK("http://www.ncbi.nlm.nih.gov/Taxonomy/Browser/wwwtax.cgi?mode=Info&amp;id=61384&amp;lvl=3&amp;lin=f&amp;keep=1&amp;srchmode=1&amp;unlock","61384")</f>
        <v>61384</v>
      </c>
      <c r="E19" t="s">
        <v>66</v>
      </c>
      <c r="F19" t="str">
        <f>HYPERLINK("http://www.ncbi.nlm.nih.gov/Taxonomy/Browser/wwwtax.cgi?mode=Info&amp;id=61384&amp;lvl=3&amp;lin=f&amp;keep=1&amp;srchmode=1&amp;unlock","Lynx rufus")</f>
        <v>Lynx rufus</v>
      </c>
      <c r="G19" t="s">
        <v>93</v>
      </c>
      <c r="H19" t="str">
        <f>HYPERLINK("http://www.ncbi.nlm.nih.gov/protein/XP_046924736.1","mRNA export factor")</f>
        <v>mRNA export factor</v>
      </c>
      <c r="I19" t="s">
        <v>267</v>
      </c>
      <c r="J19" t="s">
        <v>69</v>
      </c>
      <c r="K19">
        <v>255</v>
      </c>
      <c r="L19" t="s">
        <v>151</v>
      </c>
      <c r="M19" t="s">
        <v>69</v>
      </c>
      <c r="N19" t="s">
        <v>152</v>
      </c>
      <c r="O19" t="s">
        <v>69</v>
      </c>
      <c r="P19">
        <v>165.19200000000001</v>
      </c>
      <c r="Q19" t="s">
        <v>69</v>
      </c>
      <c r="R19" t="s">
        <v>69</v>
      </c>
      <c r="S19">
        <v>300</v>
      </c>
      <c r="T19" t="s">
        <v>250</v>
      </c>
      <c r="U19" t="s">
        <v>69</v>
      </c>
      <c r="V19" t="s">
        <v>152</v>
      </c>
      <c r="W19" t="s">
        <v>69</v>
      </c>
      <c r="X19">
        <v>204.22800000000001</v>
      </c>
      <c r="Y19" t="s">
        <v>69</v>
      </c>
      <c r="Z19" t="s">
        <v>69</v>
      </c>
      <c r="AA19">
        <v>301</v>
      </c>
      <c r="AB19" t="s">
        <v>156</v>
      </c>
      <c r="AC19" t="s">
        <v>69</v>
      </c>
      <c r="AD19" t="s">
        <v>120</v>
      </c>
      <c r="AE19" t="s">
        <v>69</v>
      </c>
      <c r="AF19">
        <v>133.10400000000001</v>
      </c>
      <c r="AG19" t="s">
        <v>69</v>
      </c>
      <c r="AH19" t="s">
        <v>69</v>
      </c>
      <c r="AI19">
        <v>302</v>
      </c>
      <c r="AJ19" t="s">
        <v>76</v>
      </c>
      <c r="AK19" t="s">
        <v>69</v>
      </c>
      <c r="AL19" t="s">
        <v>75</v>
      </c>
      <c r="AM19" t="s">
        <v>69</v>
      </c>
      <c r="AN19">
        <v>146.18899999999999</v>
      </c>
      <c r="AO19" t="s">
        <v>69</v>
      </c>
      <c r="AP19" t="s">
        <v>69</v>
      </c>
      <c r="AQ19">
        <v>308</v>
      </c>
      <c r="AR19" t="s">
        <v>72</v>
      </c>
      <c r="AS19" t="s">
        <v>69</v>
      </c>
      <c r="AT19" t="s">
        <v>71</v>
      </c>
      <c r="AU19" t="s">
        <v>69</v>
      </c>
      <c r="AV19">
        <v>131.17500000000001</v>
      </c>
      <c r="AW19" t="s">
        <v>69</v>
      </c>
      <c r="AX19" t="s">
        <v>69</v>
      </c>
      <c r="AY19">
        <v>365</v>
      </c>
      <c r="AZ19" t="s">
        <v>74</v>
      </c>
      <c r="BA19" t="s">
        <v>69</v>
      </c>
      <c r="BB19" t="s">
        <v>75</v>
      </c>
      <c r="BC19" t="s">
        <v>69</v>
      </c>
      <c r="BD19">
        <v>174.203</v>
      </c>
      <c r="BE19" t="s">
        <v>69</v>
      </c>
      <c r="BF19" t="s">
        <v>69</v>
      </c>
    </row>
    <row r="20" spans="1:58" x14ac:dyDescent="0.25">
      <c r="A20">
        <v>7</v>
      </c>
      <c r="B20" t="str">
        <f>HYPERLINK("http://www.ncbi.nlm.nih.gov/protein/XP_004759963.1","XP_004759963.1")</f>
        <v>XP_004759963.1</v>
      </c>
      <c r="C20">
        <v>58003</v>
      </c>
      <c r="D20" t="str">
        <f>HYPERLINK("http://www.ncbi.nlm.nih.gov/Taxonomy/Browser/wwwtax.cgi?mode=Info&amp;id=9669&amp;lvl=3&amp;lin=f&amp;keep=1&amp;srchmode=1&amp;unlock","9669")</f>
        <v>9669</v>
      </c>
      <c r="E20" t="s">
        <v>66</v>
      </c>
      <c r="F20" t="str">
        <f>HYPERLINK("http://www.ncbi.nlm.nih.gov/Taxonomy/Browser/wwwtax.cgi?mode=Info&amp;id=9669&amp;lvl=3&amp;lin=f&amp;keep=1&amp;srchmode=1&amp;unlock","Mustela putorius furo")</f>
        <v>Mustela putorius furo</v>
      </c>
      <c r="G20" t="s">
        <v>98</v>
      </c>
      <c r="H20" t="str">
        <f>HYPERLINK("http://www.ncbi.nlm.nih.gov/protein/XP_004759963.1","mRNA export factor isoform X2")</f>
        <v>mRNA export factor isoform X2</v>
      </c>
      <c r="I20" t="s">
        <v>267</v>
      </c>
      <c r="J20" t="s">
        <v>69</v>
      </c>
      <c r="K20">
        <v>263</v>
      </c>
      <c r="L20" t="s">
        <v>151</v>
      </c>
      <c r="M20" t="s">
        <v>69</v>
      </c>
      <c r="N20" t="s">
        <v>152</v>
      </c>
      <c r="O20" t="s">
        <v>69</v>
      </c>
      <c r="P20">
        <v>165.19200000000001</v>
      </c>
      <c r="Q20" t="s">
        <v>69</v>
      </c>
      <c r="R20" t="s">
        <v>69</v>
      </c>
      <c r="S20">
        <v>308</v>
      </c>
      <c r="T20" t="s">
        <v>250</v>
      </c>
      <c r="U20" t="s">
        <v>69</v>
      </c>
      <c r="V20" t="s">
        <v>152</v>
      </c>
      <c r="W20" t="s">
        <v>69</v>
      </c>
      <c r="X20">
        <v>204.22800000000001</v>
      </c>
      <c r="Y20" t="s">
        <v>69</v>
      </c>
      <c r="Z20" t="s">
        <v>69</v>
      </c>
      <c r="AA20">
        <v>309</v>
      </c>
      <c r="AB20" t="s">
        <v>156</v>
      </c>
      <c r="AC20" t="s">
        <v>69</v>
      </c>
      <c r="AD20" t="s">
        <v>120</v>
      </c>
      <c r="AE20" t="s">
        <v>69</v>
      </c>
      <c r="AF20">
        <v>133.10400000000001</v>
      </c>
      <c r="AG20" t="s">
        <v>69</v>
      </c>
      <c r="AH20" t="s">
        <v>69</v>
      </c>
      <c r="AI20">
        <v>310</v>
      </c>
      <c r="AJ20" t="s">
        <v>76</v>
      </c>
      <c r="AK20" t="s">
        <v>69</v>
      </c>
      <c r="AL20" t="s">
        <v>75</v>
      </c>
      <c r="AM20" t="s">
        <v>69</v>
      </c>
      <c r="AN20">
        <v>146.18899999999999</v>
      </c>
      <c r="AO20" t="s">
        <v>69</v>
      </c>
      <c r="AP20" t="s">
        <v>69</v>
      </c>
      <c r="AQ20">
        <v>316</v>
      </c>
      <c r="AR20" t="s">
        <v>72</v>
      </c>
      <c r="AS20" t="s">
        <v>69</v>
      </c>
      <c r="AT20" t="s">
        <v>71</v>
      </c>
      <c r="AU20" t="s">
        <v>69</v>
      </c>
      <c r="AV20">
        <v>131.17500000000001</v>
      </c>
      <c r="AW20" t="s">
        <v>69</v>
      </c>
      <c r="AX20" t="s">
        <v>69</v>
      </c>
      <c r="AY20">
        <v>373</v>
      </c>
      <c r="AZ20" t="s">
        <v>74</v>
      </c>
      <c r="BA20" t="s">
        <v>69</v>
      </c>
      <c r="BB20" t="s">
        <v>75</v>
      </c>
      <c r="BC20" t="s">
        <v>69</v>
      </c>
      <c r="BD20">
        <v>174.203</v>
      </c>
      <c r="BE20" t="s">
        <v>69</v>
      </c>
      <c r="BF20" t="s">
        <v>69</v>
      </c>
    </row>
    <row r="21" spans="1:58" x14ac:dyDescent="0.25">
      <c r="A21">
        <v>7</v>
      </c>
      <c r="B21" t="str">
        <f>HYPERLINK("http://www.ncbi.nlm.nih.gov/protein/XP_045837079.1","XP_045837079.1")</f>
        <v>XP_045837079.1</v>
      </c>
      <c r="C21">
        <v>50752</v>
      </c>
      <c r="D21" t="str">
        <f>HYPERLINK("http://www.ncbi.nlm.nih.gov/Taxonomy/Browser/wwwtax.cgi?mode=Info&amp;id=9662&amp;lvl=3&amp;lin=f&amp;keep=1&amp;srchmode=1&amp;unlock","9662")</f>
        <v>9662</v>
      </c>
      <c r="E21" t="s">
        <v>66</v>
      </c>
      <c r="F21" t="str">
        <f>HYPERLINK("http://www.ncbi.nlm.nih.gov/Taxonomy/Browser/wwwtax.cgi?mode=Info&amp;id=9662&amp;lvl=3&amp;lin=f&amp;keep=1&amp;srchmode=1&amp;unlock","Meles meles")</f>
        <v>Meles meles</v>
      </c>
      <c r="G21" t="s">
        <v>99</v>
      </c>
      <c r="H21" t="str">
        <f>HYPERLINK("http://www.ncbi.nlm.nih.gov/protein/XP_045837079.1","mRNA export factor")</f>
        <v>mRNA export factor</v>
      </c>
      <c r="I21" t="s">
        <v>267</v>
      </c>
      <c r="J21" t="s">
        <v>69</v>
      </c>
      <c r="K21">
        <v>255</v>
      </c>
      <c r="L21" t="s">
        <v>151</v>
      </c>
      <c r="M21" t="s">
        <v>69</v>
      </c>
      <c r="N21" t="s">
        <v>152</v>
      </c>
      <c r="O21" t="s">
        <v>69</v>
      </c>
      <c r="P21">
        <v>165.19200000000001</v>
      </c>
      <c r="Q21" t="s">
        <v>69</v>
      </c>
      <c r="R21" t="s">
        <v>69</v>
      </c>
      <c r="S21">
        <v>300</v>
      </c>
      <c r="T21" t="s">
        <v>250</v>
      </c>
      <c r="U21" t="s">
        <v>69</v>
      </c>
      <c r="V21" t="s">
        <v>152</v>
      </c>
      <c r="W21" t="s">
        <v>69</v>
      </c>
      <c r="X21">
        <v>204.22800000000001</v>
      </c>
      <c r="Y21" t="s">
        <v>69</v>
      </c>
      <c r="Z21" t="s">
        <v>69</v>
      </c>
      <c r="AA21">
        <v>301</v>
      </c>
      <c r="AB21" t="s">
        <v>156</v>
      </c>
      <c r="AC21" t="s">
        <v>69</v>
      </c>
      <c r="AD21" t="s">
        <v>120</v>
      </c>
      <c r="AE21" t="s">
        <v>69</v>
      </c>
      <c r="AF21">
        <v>133.10400000000001</v>
      </c>
      <c r="AG21" t="s">
        <v>69</v>
      </c>
      <c r="AH21" t="s">
        <v>69</v>
      </c>
      <c r="AI21">
        <v>302</v>
      </c>
      <c r="AJ21" t="s">
        <v>76</v>
      </c>
      <c r="AK21" t="s">
        <v>69</v>
      </c>
      <c r="AL21" t="s">
        <v>75</v>
      </c>
      <c r="AM21" t="s">
        <v>69</v>
      </c>
      <c r="AN21">
        <v>146.18899999999999</v>
      </c>
      <c r="AO21" t="s">
        <v>69</v>
      </c>
      <c r="AP21" t="s">
        <v>69</v>
      </c>
      <c r="AQ21">
        <v>308</v>
      </c>
      <c r="AR21" t="s">
        <v>72</v>
      </c>
      <c r="AS21" t="s">
        <v>69</v>
      </c>
      <c r="AT21" t="s">
        <v>71</v>
      </c>
      <c r="AU21" t="s">
        <v>69</v>
      </c>
      <c r="AV21">
        <v>131.17500000000001</v>
      </c>
      <c r="AW21" t="s">
        <v>69</v>
      </c>
      <c r="AX21" t="s">
        <v>69</v>
      </c>
      <c r="AY21">
        <v>365</v>
      </c>
      <c r="AZ21" t="s">
        <v>74</v>
      </c>
      <c r="BA21" t="s">
        <v>69</v>
      </c>
      <c r="BB21" t="s">
        <v>75</v>
      </c>
      <c r="BC21" t="s">
        <v>69</v>
      </c>
      <c r="BD21">
        <v>174.203</v>
      </c>
      <c r="BE21" t="s">
        <v>69</v>
      </c>
      <c r="BF21" t="s">
        <v>69</v>
      </c>
    </row>
    <row r="22" spans="1:58" x14ac:dyDescent="0.25">
      <c r="A22">
        <v>7</v>
      </c>
      <c r="B22" t="str">
        <f>HYPERLINK("http://www.ncbi.nlm.nih.gov/protein/XP_020760865.1","XP_020760865.1")</f>
        <v>XP_020760865.1</v>
      </c>
      <c r="C22">
        <v>48218</v>
      </c>
      <c r="D22" t="str">
        <f>HYPERLINK("http://www.ncbi.nlm.nih.gov/Taxonomy/Browser/wwwtax.cgi?mode=Info&amp;id=9880&amp;lvl=3&amp;lin=f&amp;keep=1&amp;srchmode=1&amp;unlock","9880")</f>
        <v>9880</v>
      </c>
      <c r="E22" t="s">
        <v>66</v>
      </c>
      <c r="F22" t="str">
        <f>HYPERLINK("http://www.ncbi.nlm.nih.gov/Taxonomy/Browser/wwwtax.cgi?mode=Info&amp;id=9880&amp;lvl=3&amp;lin=f&amp;keep=1&amp;srchmode=1&amp;unlock","Odocoileus virginianus texanus")</f>
        <v>Odocoileus virginianus texanus</v>
      </c>
      <c r="G22" t="s">
        <v>81</v>
      </c>
      <c r="H22" t="str">
        <f>HYPERLINK("http://www.ncbi.nlm.nih.gov/protein/XP_020760865.1","mRNA export factor isoform X1")</f>
        <v>mRNA export factor isoform X1</v>
      </c>
      <c r="I22" t="s">
        <v>267</v>
      </c>
      <c r="J22" t="s">
        <v>69</v>
      </c>
      <c r="K22">
        <v>255</v>
      </c>
      <c r="L22" t="s">
        <v>151</v>
      </c>
      <c r="M22" t="s">
        <v>69</v>
      </c>
      <c r="N22" t="s">
        <v>152</v>
      </c>
      <c r="O22" t="s">
        <v>69</v>
      </c>
      <c r="P22">
        <v>165.19200000000001</v>
      </c>
      <c r="Q22" t="s">
        <v>69</v>
      </c>
      <c r="R22" t="s">
        <v>69</v>
      </c>
      <c r="S22">
        <v>300</v>
      </c>
      <c r="T22" t="s">
        <v>250</v>
      </c>
      <c r="U22" t="s">
        <v>69</v>
      </c>
      <c r="V22" t="s">
        <v>152</v>
      </c>
      <c r="W22" t="s">
        <v>69</v>
      </c>
      <c r="X22">
        <v>204.22800000000001</v>
      </c>
      <c r="Y22" t="s">
        <v>69</v>
      </c>
      <c r="Z22" t="s">
        <v>69</v>
      </c>
      <c r="AA22">
        <v>301</v>
      </c>
      <c r="AB22" t="s">
        <v>156</v>
      </c>
      <c r="AC22" t="s">
        <v>69</v>
      </c>
      <c r="AD22" t="s">
        <v>120</v>
      </c>
      <c r="AE22" t="s">
        <v>69</v>
      </c>
      <c r="AF22">
        <v>133.10400000000001</v>
      </c>
      <c r="AG22" t="s">
        <v>69</v>
      </c>
      <c r="AH22" t="s">
        <v>69</v>
      </c>
      <c r="AI22">
        <v>302</v>
      </c>
      <c r="AJ22" t="s">
        <v>76</v>
      </c>
      <c r="AK22" t="s">
        <v>69</v>
      </c>
      <c r="AL22" t="s">
        <v>75</v>
      </c>
      <c r="AM22" t="s">
        <v>69</v>
      </c>
      <c r="AN22">
        <v>146.18899999999999</v>
      </c>
      <c r="AO22" t="s">
        <v>69</v>
      </c>
      <c r="AP22" t="s">
        <v>69</v>
      </c>
      <c r="AQ22">
        <v>308</v>
      </c>
      <c r="AR22" t="s">
        <v>72</v>
      </c>
      <c r="AS22" t="s">
        <v>69</v>
      </c>
      <c r="AT22" t="s">
        <v>71</v>
      </c>
      <c r="AU22" t="s">
        <v>69</v>
      </c>
      <c r="AV22">
        <v>131.17500000000001</v>
      </c>
      <c r="AW22" t="s">
        <v>69</v>
      </c>
      <c r="AX22" t="s">
        <v>69</v>
      </c>
      <c r="AY22">
        <v>365</v>
      </c>
      <c r="AZ22" t="s">
        <v>74</v>
      </c>
      <c r="BA22" t="s">
        <v>69</v>
      </c>
      <c r="BB22" t="s">
        <v>75</v>
      </c>
      <c r="BC22" t="s">
        <v>69</v>
      </c>
      <c r="BD22">
        <v>174.203</v>
      </c>
      <c r="BE22" t="s">
        <v>69</v>
      </c>
      <c r="BF22" t="s">
        <v>69</v>
      </c>
    </row>
    <row r="23" spans="1:58" x14ac:dyDescent="0.25">
      <c r="A23">
        <v>7</v>
      </c>
      <c r="B23" t="str">
        <f>HYPERLINK("http://www.ncbi.nlm.nih.gov/protein/XP_044118713.1","XP_044118713.1")</f>
        <v>XP_044118713.1</v>
      </c>
      <c r="C23">
        <v>44640</v>
      </c>
      <c r="D23" t="str">
        <f>HYPERLINK("http://www.ncbi.nlm.nih.gov/Taxonomy/Browser/wwwtax.cgi?mode=Info&amp;id=452646&amp;lvl=3&amp;lin=f&amp;keep=1&amp;srchmode=1&amp;unlock","452646")</f>
        <v>452646</v>
      </c>
      <c r="E23" t="s">
        <v>66</v>
      </c>
      <c r="F23" t="str">
        <f>HYPERLINK("http://www.ncbi.nlm.nih.gov/Taxonomy/Browser/wwwtax.cgi?mode=Info&amp;id=452646&amp;lvl=3&amp;lin=f&amp;keep=1&amp;srchmode=1&amp;unlock","Neogale vison")</f>
        <v>Neogale vison</v>
      </c>
      <c r="G23" t="s">
        <v>96</v>
      </c>
      <c r="H23" t="str">
        <f>HYPERLINK("http://www.ncbi.nlm.nih.gov/protein/XP_044118713.1","mRNA export factor")</f>
        <v>mRNA export factor</v>
      </c>
      <c r="I23" t="s">
        <v>267</v>
      </c>
      <c r="J23" t="s">
        <v>69</v>
      </c>
      <c r="K23">
        <v>255</v>
      </c>
      <c r="L23" t="s">
        <v>151</v>
      </c>
      <c r="M23" t="s">
        <v>69</v>
      </c>
      <c r="N23" t="s">
        <v>152</v>
      </c>
      <c r="O23" t="s">
        <v>69</v>
      </c>
      <c r="P23">
        <v>165.19200000000001</v>
      </c>
      <c r="Q23" t="s">
        <v>69</v>
      </c>
      <c r="R23" t="s">
        <v>69</v>
      </c>
      <c r="S23">
        <v>300</v>
      </c>
      <c r="T23" t="s">
        <v>250</v>
      </c>
      <c r="U23" t="s">
        <v>69</v>
      </c>
      <c r="V23" t="s">
        <v>152</v>
      </c>
      <c r="W23" t="s">
        <v>69</v>
      </c>
      <c r="X23">
        <v>204.22800000000001</v>
      </c>
      <c r="Y23" t="s">
        <v>69</v>
      </c>
      <c r="Z23" t="s">
        <v>69</v>
      </c>
      <c r="AA23">
        <v>301</v>
      </c>
      <c r="AB23" t="s">
        <v>156</v>
      </c>
      <c r="AC23" t="s">
        <v>69</v>
      </c>
      <c r="AD23" t="s">
        <v>120</v>
      </c>
      <c r="AE23" t="s">
        <v>69</v>
      </c>
      <c r="AF23">
        <v>133.10400000000001</v>
      </c>
      <c r="AG23" t="s">
        <v>69</v>
      </c>
      <c r="AH23" t="s">
        <v>69</v>
      </c>
      <c r="AI23">
        <v>302</v>
      </c>
      <c r="AJ23" t="s">
        <v>76</v>
      </c>
      <c r="AK23" t="s">
        <v>69</v>
      </c>
      <c r="AL23" t="s">
        <v>75</v>
      </c>
      <c r="AM23" t="s">
        <v>69</v>
      </c>
      <c r="AN23">
        <v>146.18899999999999</v>
      </c>
      <c r="AO23" t="s">
        <v>69</v>
      </c>
      <c r="AP23" t="s">
        <v>69</v>
      </c>
      <c r="AQ23">
        <v>308</v>
      </c>
      <c r="AR23" t="s">
        <v>72</v>
      </c>
      <c r="AS23" t="s">
        <v>69</v>
      </c>
      <c r="AT23" t="s">
        <v>71</v>
      </c>
      <c r="AU23" t="s">
        <v>69</v>
      </c>
      <c r="AV23">
        <v>131.17500000000001</v>
      </c>
      <c r="AW23" t="s">
        <v>69</v>
      </c>
      <c r="AX23" t="s">
        <v>69</v>
      </c>
      <c r="AY23">
        <v>365</v>
      </c>
      <c r="AZ23" t="s">
        <v>74</v>
      </c>
      <c r="BA23" t="s">
        <v>69</v>
      </c>
      <c r="BB23" t="s">
        <v>75</v>
      </c>
      <c r="BC23" t="s">
        <v>69</v>
      </c>
      <c r="BD23">
        <v>174.203</v>
      </c>
      <c r="BE23" t="s">
        <v>69</v>
      </c>
      <c r="BF23" t="s">
        <v>69</v>
      </c>
    </row>
    <row r="24" spans="1:58" x14ac:dyDescent="0.25">
      <c r="A24">
        <v>7</v>
      </c>
      <c r="B24" t="str">
        <f>HYPERLINK("http://www.ncbi.nlm.nih.gov/protein/NP_001015585.1","NP_001015585.1")</f>
        <v>NP_001015585.1</v>
      </c>
      <c r="C24">
        <v>136186</v>
      </c>
      <c r="D24" t="str">
        <f>HYPERLINK("http://www.ncbi.nlm.nih.gov/Taxonomy/Browser/wwwtax.cgi?mode=Info&amp;id=9913&amp;lvl=3&amp;lin=f&amp;keep=1&amp;srchmode=1&amp;unlock","9913")</f>
        <v>9913</v>
      </c>
      <c r="E24" t="s">
        <v>66</v>
      </c>
      <c r="F24" t="str">
        <f>HYPERLINK("http://www.ncbi.nlm.nih.gov/Taxonomy/Browser/wwwtax.cgi?mode=Info&amp;id=9913&amp;lvl=3&amp;lin=f&amp;keep=1&amp;srchmode=1&amp;unlock","Bos taurus")</f>
        <v>Bos taurus</v>
      </c>
      <c r="G24" t="s">
        <v>82</v>
      </c>
      <c r="H24" t="str">
        <f>HYPERLINK("http://www.ncbi.nlm.nih.gov/protein/NP_001015585.1","mRNA export factor")</f>
        <v>mRNA export factor</v>
      </c>
      <c r="I24" t="s">
        <v>267</v>
      </c>
      <c r="J24" t="s">
        <v>69</v>
      </c>
      <c r="K24">
        <v>255</v>
      </c>
      <c r="L24" t="s">
        <v>151</v>
      </c>
      <c r="M24" t="s">
        <v>69</v>
      </c>
      <c r="N24" t="s">
        <v>152</v>
      </c>
      <c r="O24" t="s">
        <v>69</v>
      </c>
      <c r="P24">
        <v>165.19200000000001</v>
      </c>
      <c r="Q24" t="s">
        <v>69</v>
      </c>
      <c r="R24" t="s">
        <v>69</v>
      </c>
      <c r="S24">
        <v>300</v>
      </c>
      <c r="T24" t="s">
        <v>250</v>
      </c>
      <c r="U24" t="s">
        <v>69</v>
      </c>
      <c r="V24" t="s">
        <v>152</v>
      </c>
      <c r="W24" t="s">
        <v>69</v>
      </c>
      <c r="X24">
        <v>204.22800000000001</v>
      </c>
      <c r="Y24" t="s">
        <v>69</v>
      </c>
      <c r="Z24" t="s">
        <v>69</v>
      </c>
      <c r="AA24">
        <v>301</v>
      </c>
      <c r="AB24" t="s">
        <v>156</v>
      </c>
      <c r="AC24" t="s">
        <v>69</v>
      </c>
      <c r="AD24" t="s">
        <v>120</v>
      </c>
      <c r="AE24" t="s">
        <v>69</v>
      </c>
      <c r="AF24">
        <v>133.10400000000001</v>
      </c>
      <c r="AG24" t="s">
        <v>69</v>
      </c>
      <c r="AH24" t="s">
        <v>69</v>
      </c>
      <c r="AI24">
        <v>302</v>
      </c>
      <c r="AJ24" t="s">
        <v>76</v>
      </c>
      <c r="AK24" t="s">
        <v>69</v>
      </c>
      <c r="AL24" t="s">
        <v>75</v>
      </c>
      <c r="AM24" t="s">
        <v>69</v>
      </c>
      <c r="AN24">
        <v>146.18899999999999</v>
      </c>
      <c r="AO24" t="s">
        <v>69</v>
      </c>
      <c r="AP24" t="s">
        <v>69</v>
      </c>
      <c r="AQ24">
        <v>308</v>
      </c>
      <c r="AR24" t="s">
        <v>72</v>
      </c>
      <c r="AS24" t="s">
        <v>69</v>
      </c>
      <c r="AT24" t="s">
        <v>71</v>
      </c>
      <c r="AU24" t="s">
        <v>69</v>
      </c>
      <c r="AV24">
        <v>131.17500000000001</v>
      </c>
      <c r="AW24" t="s">
        <v>69</v>
      </c>
      <c r="AX24" t="s">
        <v>69</v>
      </c>
      <c r="AY24">
        <v>365</v>
      </c>
      <c r="AZ24" t="s">
        <v>74</v>
      </c>
      <c r="BA24" t="s">
        <v>69</v>
      </c>
      <c r="BB24" t="s">
        <v>75</v>
      </c>
      <c r="BC24" t="s">
        <v>69</v>
      </c>
      <c r="BD24">
        <v>174.203</v>
      </c>
      <c r="BE24" t="s">
        <v>69</v>
      </c>
      <c r="BF24" t="s">
        <v>69</v>
      </c>
    </row>
    <row r="25" spans="1:58" x14ac:dyDescent="0.25">
      <c r="A25">
        <v>7</v>
      </c>
      <c r="B25" t="str">
        <f>HYPERLINK("http://www.ncbi.nlm.nih.gov/protein/NP_780321.1","NP_780321.1")</f>
        <v>NP_780321.1</v>
      </c>
      <c r="C25">
        <v>337449</v>
      </c>
      <c r="D25" t="str">
        <f>HYPERLINK("http://www.ncbi.nlm.nih.gov/Taxonomy/Browser/wwwtax.cgi?mode=Info&amp;id=10090&amp;lvl=3&amp;lin=f&amp;keep=1&amp;srchmode=1&amp;unlock","10090")</f>
        <v>10090</v>
      </c>
      <c r="E25" t="s">
        <v>66</v>
      </c>
      <c r="F25" t="str">
        <f>HYPERLINK("http://www.ncbi.nlm.nih.gov/Taxonomy/Browser/wwwtax.cgi?mode=Info&amp;id=10090&amp;lvl=3&amp;lin=f&amp;keep=1&amp;srchmode=1&amp;unlock","Mus musculus")</f>
        <v>Mus musculus</v>
      </c>
      <c r="G25" t="s">
        <v>104</v>
      </c>
      <c r="H25" t="str">
        <f>HYPERLINK("http://www.ncbi.nlm.nih.gov/protein/NP_780321.1","mRNA export factor")</f>
        <v>mRNA export factor</v>
      </c>
      <c r="I25" t="s">
        <v>267</v>
      </c>
      <c r="J25" t="s">
        <v>69</v>
      </c>
      <c r="K25">
        <v>255</v>
      </c>
      <c r="L25" t="s">
        <v>151</v>
      </c>
      <c r="M25" t="s">
        <v>69</v>
      </c>
      <c r="N25" t="s">
        <v>152</v>
      </c>
      <c r="O25" t="s">
        <v>69</v>
      </c>
      <c r="P25">
        <v>165.19200000000001</v>
      </c>
      <c r="Q25" t="s">
        <v>69</v>
      </c>
      <c r="R25" t="s">
        <v>69</v>
      </c>
      <c r="S25">
        <v>300</v>
      </c>
      <c r="T25" t="s">
        <v>250</v>
      </c>
      <c r="U25" t="s">
        <v>69</v>
      </c>
      <c r="V25" t="s">
        <v>152</v>
      </c>
      <c r="W25" t="s">
        <v>69</v>
      </c>
      <c r="X25">
        <v>204.22800000000001</v>
      </c>
      <c r="Y25" t="s">
        <v>69</v>
      </c>
      <c r="Z25" t="s">
        <v>69</v>
      </c>
      <c r="AA25">
        <v>301</v>
      </c>
      <c r="AB25" t="s">
        <v>156</v>
      </c>
      <c r="AC25" t="s">
        <v>69</v>
      </c>
      <c r="AD25" t="s">
        <v>120</v>
      </c>
      <c r="AE25" t="s">
        <v>69</v>
      </c>
      <c r="AF25">
        <v>133.10400000000001</v>
      </c>
      <c r="AG25" t="s">
        <v>69</v>
      </c>
      <c r="AH25" t="s">
        <v>69</v>
      </c>
      <c r="AI25">
        <v>302</v>
      </c>
      <c r="AJ25" t="s">
        <v>76</v>
      </c>
      <c r="AK25" t="s">
        <v>69</v>
      </c>
      <c r="AL25" t="s">
        <v>75</v>
      </c>
      <c r="AM25" t="s">
        <v>69</v>
      </c>
      <c r="AN25">
        <v>146.18899999999999</v>
      </c>
      <c r="AO25" t="s">
        <v>69</v>
      </c>
      <c r="AP25" t="s">
        <v>69</v>
      </c>
      <c r="AQ25">
        <v>308</v>
      </c>
      <c r="AR25" t="s">
        <v>72</v>
      </c>
      <c r="AS25" t="s">
        <v>69</v>
      </c>
      <c r="AT25" t="s">
        <v>71</v>
      </c>
      <c r="AU25" t="s">
        <v>69</v>
      </c>
      <c r="AV25">
        <v>131.17500000000001</v>
      </c>
      <c r="AW25" t="s">
        <v>69</v>
      </c>
      <c r="AX25" t="s">
        <v>69</v>
      </c>
      <c r="AY25">
        <v>365</v>
      </c>
      <c r="AZ25" t="s">
        <v>74</v>
      </c>
      <c r="BA25" t="s">
        <v>69</v>
      </c>
      <c r="BB25" t="s">
        <v>75</v>
      </c>
      <c r="BC25" t="s">
        <v>69</v>
      </c>
      <c r="BD25">
        <v>174.203</v>
      </c>
      <c r="BE25" t="s">
        <v>69</v>
      </c>
      <c r="BF25" t="s">
        <v>69</v>
      </c>
    </row>
    <row r="26" spans="1:58" x14ac:dyDescent="0.25">
      <c r="A26">
        <v>7</v>
      </c>
      <c r="B26" t="str">
        <f>HYPERLINK("http://www.ncbi.nlm.nih.gov/protein/XP_005074527.1","XP_005074527.1")</f>
        <v>XP_005074527.1</v>
      </c>
      <c r="C26">
        <v>54410</v>
      </c>
      <c r="D26" t="str">
        <f>HYPERLINK("http://www.ncbi.nlm.nih.gov/Taxonomy/Browser/wwwtax.cgi?mode=Info&amp;id=10036&amp;lvl=3&amp;lin=f&amp;keep=1&amp;srchmode=1&amp;unlock","10036")</f>
        <v>10036</v>
      </c>
      <c r="E26" t="s">
        <v>66</v>
      </c>
      <c r="F26" t="str">
        <f>HYPERLINK("http://www.ncbi.nlm.nih.gov/Taxonomy/Browser/wwwtax.cgi?mode=Info&amp;id=10036&amp;lvl=3&amp;lin=f&amp;keep=1&amp;srchmode=1&amp;unlock","Mesocricetus auratus")</f>
        <v>Mesocricetus auratus</v>
      </c>
      <c r="G26" t="s">
        <v>87</v>
      </c>
      <c r="H26" t="str">
        <f>HYPERLINK("http://www.ncbi.nlm.nih.gov/protein/XP_005074527.1","mRNA export factor")</f>
        <v>mRNA export factor</v>
      </c>
      <c r="I26" t="s">
        <v>267</v>
      </c>
      <c r="J26" t="s">
        <v>69</v>
      </c>
      <c r="K26">
        <v>255</v>
      </c>
      <c r="L26" t="s">
        <v>151</v>
      </c>
      <c r="M26" t="s">
        <v>69</v>
      </c>
      <c r="N26" t="s">
        <v>152</v>
      </c>
      <c r="O26" t="s">
        <v>69</v>
      </c>
      <c r="P26">
        <v>165.19200000000001</v>
      </c>
      <c r="Q26" t="s">
        <v>69</v>
      </c>
      <c r="R26" t="s">
        <v>69</v>
      </c>
      <c r="S26">
        <v>300</v>
      </c>
      <c r="T26" t="s">
        <v>250</v>
      </c>
      <c r="U26" t="s">
        <v>69</v>
      </c>
      <c r="V26" t="s">
        <v>152</v>
      </c>
      <c r="W26" t="s">
        <v>69</v>
      </c>
      <c r="X26">
        <v>204.22800000000001</v>
      </c>
      <c r="Y26" t="s">
        <v>69</v>
      </c>
      <c r="Z26" t="s">
        <v>69</v>
      </c>
      <c r="AA26">
        <v>301</v>
      </c>
      <c r="AB26" t="s">
        <v>156</v>
      </c>
      <c r="AC26" t="s">
        <v>69</v>
      </c>
      <c r="AD26" t="s">
        <v>120</v>
      </c>
      <c r="AE26" t="s">
        <v>69</v>
      </c>
      <c r="AF26">
        <v>133.10400000000001</v>
      </c>
      <c r="AG26" t="s">
        <v>69</v>
      </c>
      <c r="AH26" t="s">
        <v>69</v>
      </c>
      <c r="AI26">
        <v>302</v>
      </c>
      <c r="AJ26" t="s">
        <v>76</v>
      </c>
      <c r="AK26" t="s">
        <v>69</v>
      </c>
      <c r="AL26" t="s">
        <v>75</v>
      </c>
      <c r="AM26" t="s">
        <v>69</v>
      </c>
      <c r="AN26">
        <v>146.18899999999999</v>
      </c>
      <c r="AO26" t="s">
        <v>69</v>
      </c>
      <c r="AP26" t="s">
        <v>69</v>
      </c>
      <c r="AQ26">
        <v>308</v>
      </c>
      <c r="AR26" t="s">
        <v>72</v>
      </c>
      <c r="AS26" t="s">
        <v>69</v>
      </c>
      <c r="AT26" t="s">
        <v>71</v>
      </c>
      <c r="AU26" t="s">
        <v>69</v>
      </c>
      <c r="AV26">
        <v>131.17500000000001</v>
      </c>
      <c r="AW26" t="s">
        <v>69</v>
      </c>
      <c r="AX26" t="s">
        <v>69</v>
      </c>
      <c r="AY26">
        <v>365</v>
      </c>
      <c r="AZ26" t="s">
        <v>74</v>
      </c>
      <c r="BA26" t="s">
        <v>69</v>
      </c>
      <c r="BB26" t="s">
        <v>75</v>
      </c>
      <c r="BC26" t="s">
        <v>69</v>
      </c>
      <c r="BD26">
        <v>174.203</v>
      </c>
      <c r="BE26" t="s">
        <v>69</v>
      </c>
      <c r="BF26" t="s">
        <v>69</v>
      </c>
    </row>
    <row r="27" spans="1:58" x14ac:dyDescent="0.25">
      <c r="A27">
        <v>7</v>
      </c>
      <c r="B27" t="str">
        <f>HYPERLINK("http://www.ncbi.nlm.nih.gov/protein/XP_006985404.1","XP_006985404.1")</f>
        <v>XP_006985404.1</v>
      </c>
      <c r="C27">
        <v>54287</v>
      </c>
      <c r="D27" t="str">
        <f>HYPERLINK("http://www.ncbi.nlm.nih.gov/Taxonomy/Browser/wwwtax.cgi?mode=Info&amp;id=230844&amp;lvl=3&amp;lin=f&amp;keep=1&amp;srchmode=1&amp;unlock","230844")</f>
        <v>230844</v>
      </c>
      <c r="E27" t="s">
        <v>66</v>
      </c>
      <c r="F27" t="str">
        <f>HYPERLINK("http://www.ncbi.nlm.nih.gov/Taxonomy/Browser/wwwtax.cgi?mode=Info&amp;id=230844&amp;lvl=3&amp;lin=f&amp;keep=1&amp;srchmode=1&amp;unlock","Peromyscus maniculatus bairdii")</f>
        <v>Peromyscus maniculatus bairdii</v>
      </c>
      <c r="G27" t="s">
        <v>88</v>
      </c>
      <c r="H27" t="str">
        <f>HYPERLINK("http://www.ncbi.nlm.nih.gov/protein/XP_006985404.1","mRNA export factor")</f>
        <v>mRNA export factor</v>
      </c>
      <c r="I27" t="s">
        <v>267</v>
      </c>
      <c r="J27" t="s">
        <v>69</v>
      </c>
      <c r="K27">
        <v>255</v>
      </c>
      <c r="L27" t="s">
        <v>151</v>
      </c>
      <c r="M27" t="s">
        <v>69</v>
      </c>
      <c r="N27" t="s">
        <v>152</v>
      </c>
      <c r="O27" t="s">
        <v>69</v>
      </c>
      <c r="P27">
        <v>165.19200000000001</v>
      </c>
      <c r="Q27" t="s">
        <v>69</v>
      </c>
      <c r="R27" t="s">
        <v>69</v>
      </c>
      <c r="S27">
        <v>300</v>
      </c>
      <c r="T27" t="s">
        <v>250</v>
      </c>
      <c r="U27" t="s">
        <v>69</v>
      </c>
      <c r="V27" t="s">
        <v>152</v>
      </c>
      <c r="W27" t="s">
        <v>69</v>
      </c>
      <c r="X27">
        <v>204.22800000000001</v>
      </c>
      <c r="Y27" t="s">
        <v>69</v>
      </c>
      <c r="Z27" t="s">
        <v>69</v>
      </c>
      <c r="AA27">
        <v>301</v>
      </c>
      <c r="AB27" t="s">
        <v>156</v>
      </c>
      <c r="AC27" t="s">
        <v>69</v>
      </c>
      <c r="AD27" t="s">
        <v>120</v>
      </c>
      <c r="AE27" t="s">
        <v>69</v>
      </c>
      <c r="AF27">
        <v>133.10400000000001</v>
      </c>
      <c r="AG27" t="s">
        <v>69</v>
      </c>
      <c r="AH27" t="s">
        <v>69</v>
      </c>
      <c r="AI27">
        <v>302</v>
      </c>
      <c r="AJ27" t="s">
        <v>76</v>
      </c>
      <c r="AK27" t="s">
        <v>69</v>
      </c>
      <c r="AL27" t="s">
        <v>75</v>
      </c>
      <c r="AM27" t="s">
        <v>69</v>
      </c>
      <c r="AN27">
        <v>146.18899999999999</v>
      </c>
      <c r="AO27" t="s">
        <v>69</v>
      </c>
      <c r="AP27" t="s">
        <v>69</v>
      </c>
      <c r="AQ27">
        <v>308</v>
      </c>
      <c r="AR27" t="s">
        <v>72</v>
      </c>
      <c r="AS27" t="s">
        <v>69</v>
      </c>
      <c r="AT27" t="s">
        <v>71</v>
      </c>
      <c r="AU27" t="s">
        <v>69</v>
      </c>
      <c r="AV27">
        <v>131.17500000000001</v>
      </c>
      <c r="AW27" t="s">
        <v>69</v>
      </c>
      <c r="AX27" t="s">
        <v>69</v>
      </c>
      <c r="AY27">
        <v>365</v>
      </c>
      <c r="AZ27" t="s">
        <v>74</v>
      </c>
      <c r="BA27" t="s">
        <v>69</v>
      </c>
      <c r="BB27" t="s">
        <v>75</v>
      </c>
      <c r="BC27" t="s">
        <v>69</v>
      </c>
      <c r="BD27">
        <v>174.203</v>
      </c>
      <c r="BE27" t="s">
        <v>69</v>
      </c>
      <c r="BF27" t="s">
        <v>69</v>
      </c>
    </row>
    <row r="28" spans="1:58" x14ac:dyDescent="0.25">
      <c r="A28">
        <v>7</v>
      </c>
      <c r="B28" t="str">
        <f>HYPERLINK("http://www.ncbi.nlm.nih.gov/protein/XP_006235754.1","XP_006235754.1")</f>
        <v>XP_006235754.1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HYPERLINK("http://www.ncbi.nlm.nih.gov/protein/XP_006235754.1","mRNA export factor isoform X1")</f>
        <v>mRNA export factor isoform X1</v>
      </c>
      <c r="I28" t="s">
        <v>267</v>
      </c>
      <c r="J28" t="s">
        <v>69</v>
      </c>
      <c r="K28">
        <v>259</v>
      </c>
      <c r="L28" t="s">
        <v>151</v>
      </c>
      <c r="M28" t="s">
        <v>69</v>
      </c>
      <c r="N28" t="s">
        <v>152</v>
      </c>
      <c r="O28" t="s">
        <v>69</v>
      </c>
      <c r="P28">
        <v>165.19200000000001</v>
      </c>
      <c r="Q28" t="s">
        <v>69</v>
      </c>
      <c r="R28" t="s">
        <v>69</v>
      </c>
      <c r="S28">
        <v>304</v>
      </c>
      <c r="T28" t="s">
        <v>250</v>
      </c>
      <c r="U28" t="s">
        <v>69</v>
      </c>
      <c r="V28" t="s">
        <v>152</v>
      </c>
      <c r="W28" t="s">
        <v>69</v>
      </c>
      <c r="X28">
        <v>204.22800000000001</v>
      </c>
      <c r="Y28" t="s">
        <v>69</v>
      </c>
      <c r="Z28" t="s">
        <v>69</v>
      </c>
      <c r="AA28">
        <v>305</v>
      </c>
      <c r="AB28" t="s">
        <v>156</v>
      </c>
      <c r="AC28" t="s">
        <v>69</v>
      </c>
      <c r="AD28" t="s">
        <v>120</v>
      </c>
      <c r="AE28" t="s">
        <v>69</v>
      </c>
      <c r="AF28">
        <v>133.10400000000001</v>
      </c>
      <c r="AG28" t="s">
        <v>69</v>
      </c>
      <c r="AH28" t="s">
        <v>69</v>
      </c>
      <c r="AI28">
        <v>306</v>
      </c>
      <c r="AJ28" t="s">
        <v>76</v>
      </c>
      <c r="AK28" t="s">
        <v>69</v>
      </c>
      <c r="AL28" t="s">
        <v>75</v>
      </c>
      <c r="AM28" t="s">
        <v>69</v>
      </c>
      <c r="AN28">
        <v>146.18899999999999</v>
      </c>
      <c r="AO28" t="s">
        <v>69</v>
      </c>
      <c r="AP28" t="s">
        <v>69</v>
      </c>
      <c r="AQ28">
        <v>312</v>
      </c>
      <c r="AR28" t="s">
        <v>72</v>
      </c>
      <c r="AS28" t="s">
        <v>69</v>
      </c>
      <c r="AT28" t="s">
        <v>71</v>
      </c>
      <c r="AU28" t="s">
        <v>69</v>
      </c>
      <c r="AV28">
        <v>131.17500000000001</v>
      </c>
      <c r="AW28" t="s">
        <v>69</v>
      </c>
      <c r="AX28" t="s">
        <v>69</v>
      </c>
      <c r="AY28">
        <v>369</v>
      </c>
      <c r="AZ28" t="s">
        <v>74</v>
      </c>
      <c r="BA28" t="s">
        <v>69</v>
      </c>
      <c r="BB28" t="s">
        <v>75</v>
      </c>
      <c r="BC28" t="s">
        <v>69</v>
      </c>
      <c r="BD28">
        <v>174.203</v>
      </c>
      <c r="BE28" t="s">
        <v>69</v>
      </c>
      <c r="BF28" t="s">
        <v>69</v>
      </c>
    </row>
    <row r="29" spans="1:58" x14ac:dyDescent="0.25">
      <c r="A29">
        <v>7</v>
      </c>
      <c r="B29" t="str">
        <f>HYPERLINK("http://www.ncbi.nlm.nih.gov/protein/XP_017504389.1","XP_017504389.1")</f>
        <v>XP_017504389.1</v>
      </c>
      <c r="C29">
        <v>56064</v>
      </c>
      <c r="D29" t="str">
        <f>HYPERLINK("http://www.ncbi.nlm.nih.gov/Taxonomy/Browser/wwwtax.cgi?mode=Info&amp;id=9974&amp;lvl=3&amp;lin=f&amp;keep=1&amp;srchmode=1&amp;unlock","9974")</f>
        <v>9974</v>
      </c>
      <c r="E29" t="s">
        <v>66</v>
      </c>
      <c r="F29" t="str">
        <f>HYPERLINK("http://www.ncbi.nlm.nih.gov/Taxonomy/Browser/wwwtax.cgi?mode=Info&amp;id=9974&amp;lvl=3&amp;lin=f&amp;keep=1&amp;srchmode=1&amp;unlock","Manis javanica")</f>
        <v>Manis javanica</v>
      </c>
      <c r="G29" t="s">
        <v>100</v>
      </c>
      <c r="H29" t="str">
        <f>HYPERLINK("http://www.ncbi.nlm.nih.gov/protein/XP_017504389.1","mRNA export factor isoform X1")</f>
        <v>mRNA export factor isoform X1</v>
      </c>
      <c r="I29" t="s">
        <v>267</v>
      </c>
      <c r="J29" t="s">
        <v>69</v>
      </c>
      <c r="K29">
        <v>254</v>
      </c>
      <c r="L29" t="s">
        <v>151</v>
      </c>
      <c r="M29" t="s">
        <v>69</v>
      </c>
      <c r="N29" t="s">
        <v>152</v>
      </c>
      <c r="O29" t="s">
        <v>69</v>
      </c>
      <c r="P29">
        <v>165.19200000000001</v>
      </c>
      <c r="Q29" t="s">
        <v>69</v>
      </c>
      <c r="R29" t="s">
        <v>69</v>
      </c>
      <c r="S29">
        <v>299</v>
      </c>
      <c r="T29" t="s">
        <v>250</v>
      </c>
      <c r="U29" t="s">
        <v>69</v>
      </c>
      <c r="V29" t="s">
        <v>152</v>
      </c>
      <c r="W29" t="s">
        <v>69</v>
      </c>
      <c r="X29">
        <v>204.22800000000001</v>
      </c>
      <c r="Y29" t="s">
        <v>69</v>
      </c>
      <c r="Z29" t="s">
        <v>69</v>
      </c>
      <c r="AA29">
        <v>300</v>
      </c>
      <c r="AB29" t="s">
        <v>156</v>
      </c>
      <c r="AC29" t="s">
        <v>69</v>
      </c>
      <c r="AD29" t="s">
        <v>120</v>
      </c>
      <c r="AE29" t="s">
        <v>69</v>
      </c>
      <c r="AF29">
        <v>133.10400000000001</v>
      </c>
      <c r="AG29" t="s">
        <v>69</v>
      </c>
      <c r="AH29" t="s">
        <v>69</v>
      </c>
      <c r="AI29">
        <v>301</v>
      </c>
      <c r="AJ29" t="s">
        <v>76</v>
      </c>
      <c r="AK29" t="s">
        <v>69</v>
      </c>
      <c r="AL29" t="s">
        <v>75</v>
      </c>
      <c r="AM29" t="s">
        <v>69</v>
      </c>
      <c r="AN29">
        <v>146.18899999999999</v>
      </c>
      <c r="AO29" t="s">
        <v>69</v>
      </c>
      <c r="AP29" t="s">
        <v>69</v>
      </c>
      <c r="AQ29">
        <v>307</v>
      </c>
      <c r="AR29" t="s">
        <v>72</v>
      </c>
      <c r="AS29" t="s">
        <v>69</v>
      </c>
      <c r="AT29" t="s">
        <v>71</v>
      </c>
      <c r="AU29" t="s">
        <v>69</v>
      </c>
      <c r="AV29">
        <v>131.17500000000001</v>
      </c>
      <c r="AW29" t="s">
        <v>69</v>
      </c>
      <c r="AX29" t="s">
        <v>69</v>
      </c>
      <c r="AY29">
        <v>364</v>
      </c>
      <c r="AZ29" t="s">
        <v>74</v>
      </c>
      <c r="BA29" t="s">
        <v>69</v>
      </c>
      <c r="BB29" t="s">
        <v>75</v>
      </c>
      <c r="BC29" t="s">
        <v>69</v>
      </c>
      <c r="BD29">
        <v>174.203</v>
      </c>
      <c r="BE29" t="s">
        <v>69</v>
      </c>
      <c r="BF29" t="s">
        <v>69</v>
      </c>
    </row>
    <row r="30" spans="1:58" x14ac:dyDescent="0.25">
      <c r="A30">
        <v>7</v>
      </c>
      <c r="B30" t="str">
        <f>HYPERLINK("http://www.ncbi.nlm.nih.gov/protein/XP_015980423.2","XP_015980423.2")</f>
        <v>XP_015980423.2</v>
      </c>
      <c r="C30">
        <v>117142</v>
      </c>
      <c r="D30" t="str">
        <f>HYPERLINK("http://www.ncbi.nlm.nih.gov/Taxonomy/Browser/wwwtax.cgi?mode=Info&amp;id=9407&amp;lvl=3&amp;lin=f&amp;keep=1&amp;srchmode=1&amp;unlock","9407")</f>
        <v>9407</v>
      </c>
      <c r="E30" t="s">
        <v>66</v>
      </c>
      <c r="F30" t="str">
        <f>HYPERLINK("http://www.ncbi.nlm.nih.gov/Taxonomy/Browser/wwwtax.cgi?mode=Info&amp;id=9407&amp;lvl=3&amp;lin=f&amp;keep=1&amp;srchmode=1&amp;unlock","Rousettus aegyptiacus")</f>
        <v>Rousettus aegyptiacus</v>
      </c>
      <c r="G30" t="s">
        <v>103</v>
      </c>
      <c r="H30" t="str">
        <f>HYPERLINK("http://www.ncbi.nlm.nih.gov/protein/XP_015980423.2","mRNA export factor")</f>
        <v>mRNA export factor</v>
      </c>
      <c r="I30" t="s">
        <v>267</v>
      </c>
      <c r="J30" t="s">
        <v>69</v>
      </c>
      <c r="K30">
        <v>255</v>
      </c>
      <c r="L30" t="s">
        <v>151</v>
      </c>
      <c r="M30" t="s">
        <v>69</v>
      </c>
      <c r="N30" t="s">
        <v>152</v>
      </c>
      <c r="O30" t="s">
        <v>69</v>
      </c>
      <c r="P30">
        <v>165.19200000000001</v>
      </c>
      <c r="Q30" t="s">
        <v>69</v>
      </c>
      <c r="R30" t="s">
        <v>69</v>
      </c>
      <c r="S30">
        <v>300</v>
      </c>
      <c r="T30" t="s">
        <v>250</v>
      </c>
      <c r="U30" t="s">
        <v>69</v>
      </c>
      <c r="V30" t="s">
        <v>152</v>
      </c>
      <c r="W30" t="s">
        <v>69</v>
      </c>
      <c r="X30">
        <v>204.22800000000001</v>
      </c>
      <c r="Y30" t="s">
        <v>69</v>
      </c>
      <c r="Z30" t="s">
        <v>69</v>
      </c>
      <c r="AA30">
        <v>301</v>
      </c>
      <c r="AB30" t="s">
        <v>156</v>
      </c>
      <c r="AC30" t="s">
        <v>69</v>
      </c>
      <c r="AD30" t="s">
        <v>120</v>
      </c>
      <c r="AE30" t="s">
        <v>69</v>
      </c>
      <c r="AF30">
        <v>133.10400000000001</v>
      </c>
      <c r="AG30" t="s">
        <v>69</v>
      </c>
      <c r="AH30" t="s">
        <v>69</v>
      </c>
      <c r="AI30">
        <v>302</v>
      </c>
      <c r="AJ30" t="s">
        <v>76</v>
      </c>
      <c r="AK30" t="s">
        <v>69</v>
      </c>
      <c r="AL30" t="s">
        <v>75</v>
      </c>
      <c r="AM30" t="s">
        <v>69</v>
      </c>
      <c r="AN30">
        <v>146.18899999999999</v>
      </c>
      <c r="AO30" t="s">
        <v>69</v>
      </c>
      <c r="AP30" t="s">
        <v>69</v>
      </c>
      <c r="AQ30">
        <v>308</v>
      </c>
      <c r="AR30" t="s">
        <v>72</v>
      </c>
      <c r="AS30" t="s">
        <v>69</v>
      </c>
      <c r="AT30" t="s">
        <v>71</v>
      </c>
      <c r="AU30" t="s">
        <v>69</v>
      </c>
      <c r="AV30">
        <v>131.17500000000001</v>
      </c>
      <c r="AW30" t="s">
        <v>69</v>
      </c>
      <c r="AX30" t="s">
        <v>69</v>
      </c>
      <c r="AY30">
        <v>365</v>
      </c>
      <c r="AZ30" t="s">
        <v>74</v>
      </c>
      <c r="BA30" t="s">
        <v>69</v>
      </c>
      <c r="BB30" t="s">
        <v>75</v>
      </c>
      <c r="BC30" t="s">
        <v>69</v>
      </c>
      <c r="BD30">
        <v>174.203</v>
      </c>
      <c r="BE30" t="s">
        <v>69</v>
      </c>
      <c r="BF30" t="s">
        <v>69</v>
      </c>
    </row>
    <row r="31" spans="1:58" x14ac:dyDescent="0.25">
      <c r="A31">
        <v>7</v>
      </c>
      <c r="B31" t="str">
        <f>HYPERLINK("http://www.ncbi.nlm.nih.gov/protein/XP_005499674.1","XP_005499674.1")</f>
        <v>XP_005499674.1</v>
      </c>
      <c r="C31">
        <v>50957</v>
      </c>
      <c r="D31" t="str">
        <f>HYPERLINK("http://www.ncbi.nlm.nih.gov/Taxonomy/Browser/wwwtax.cgi?mode=Info&amp;id=8932&amp;lvl=3&amp;lin=f&amp;keep=1&amp;srchmode=1&amp;unlock","8932")</f>
        <v>8932</v>
      </c>
      <c r="E31" t="s">
        <v>107</v>
      </c>
      <c r="F31" t="str">
        <f>HYPERLINK("http://www.ncbi.nlm.nih.gov/Taxonomy/Browser/wwwtax.cgi?mode=Info&amp;id=8932&amp;lvl=3&amp;lin=f&amp;keep=1&amp;srchmode=1&amp;unlock","Columba livia")</f>
        <v>Columba livia</v>
      </c>
      <c r="G31" t="s">
        <v>108</v>
      </c>
      <c r="H31" t="str">
        <f>HYPERLINK("http://www.ncbi.nlm.nih.gov/protein/XP_005499674.1","mRNA export factor isoform X1")</f>
        <v>mRNA export factor isoform X1</v>
      </c>
      <c r="I31" t="s">
        <v>267</v>
      </c>
      <c r="J31" t="s">
        <v>69</v>
      </c>
      <c r="K31">
        <v>255</v>
      </c>
      <c r="L31" t="s">
        <v>151</v>
      </c>
      <c r="M31" t="s">
        <v>69</v>
      </c>
      <c r="N31" t="s">
        <v>152</v>
      </c>
      <c r="O31" t="s">
        <v>69</v>
      </c>
      <c r="P31">
        <v>165.19200000000001</v>
      </c>
      <c r="Q31" t="s">
        <v>69</v>
      </c>
      <c r="R31" t="s">
        <v>69</v>
      </c>
      <c r="S31">
        <v>300</v>
      </c>
      <c r="T31" t="s">
        <v>250</v>
      </c>
      <c r="U31" t="s">
        <v>69</v>
      </c>
      <c r="V31" t="s">
        <v>152</v>
      </c>
      <c r="W31" t="s">
        <v>69</v>
      </c>
      <c r="X31">
        <v>204.22800000000001</v>
      </c>
      <c r="Y31" t="s">
        <v>69</v>
      </c>
      <c r="Z31" t="s">
        <v>69</v>
      </c>
      <c r="AA31">
        <v>301</v>
      </c>
      <c r="AB31" t="s">
        <v>156</v>
      </c>
      <c r="AC31" t="s">
        <v>69</v>
      </c>
      <c r="AD31" t="s">
        <v>120</v>
      </c>
      <c r="AE31" t="s">
        <v>69</v>
      </c>
      <c r="AF31">
        <v>133.10400000000001</v>
      </c>
      <c r="AG31" t="s">
        <v>69</v>
      </c>
      <c r="AH31" t="s">
        <v>69</v>
      </c>
      <c r="AI31">
        <v>302</v>
      </c>
      <c r="AJ31" t="s">
        <v>76</v>
      </c>
      <c r="AK31" t="s">
        <v>69</v>
      </c>
      <c r="AL31" t="s">
        <v>75</v>
      </c>
      <c r="AM31" t="s">
        <v>69</v>
      </c>
      <c r="AN31">
        <v>146.18899999999999</v>
      </c>
      <c r="AO31" t="s">
        <v>69</v>
      </c>
      <c r="AP31" t="s">
        <v>69</v>
      </c>
      <c r="AQ31">
        <v>308</v>
      </c>
      <c r="AR31" t="s">
        <v>72</v>
      </c>
      <c r="AS31" t="s">
        <v>69</v>
      </c>
      <c r="AT31" t="s">
        <v>71</v>
      </c>
      <c r="AU31" t="s">
        <v>69</v>
      </c>
      <c r="AV31">
        <v>131.17500000000001</v>
      </c>
      <c r="AW31" t="s">
        <v>69</v>
      </c>
      <c r="AX31" t="s">
        <v>69</v>
      </c>
      <c r="AY31">
        <v>365</v>
      </c>
      <c r="AZ31" t="s">
        <v>74</v>
      </c>
      <c r="BA31" t="s">
        <v>69</v>
      </c>
      <c r="BB31" t="s">
        <v>75</v>
      </c>
      <c r="BC31" t="s">
        <v>69</v>
      </c>
      <c r="BD31">
        <v>174.203</v>
      </c>
      <c r="BE31" t="s">
        <v>69</v>
      </c>
      <c r="BF31" t="s">
        <v>69</v>
      </c>
    </row>
    <row r="32" spans="1:58" x14ac:dyDescent="0.25">
      <c r="A32">
        <v>7</v>
      </c>
      <c r="B32" t="str">
        <f>HYPERLINK("http://www.ncbi.nlm.nih.gov/protein/XP_025060493.1","XP_025060493.1")</f>
        <v>XP_025060493.1</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HYPERLINK("http://www.ncbi.nlm.nih.gov/protein/XP_025060493.1","mRNA export factor isoform X1")</f>
        <v>mRNA export factor isoform X1</v>
      </c>
      <c r="I32" t="s">
        <v>267</v>
      </c>
      <c r="J32" t="s">
        <v>69</v>
      </c>
      <c r="K32">
        <v>245</v>
      </c>
      <c r="L32" t="s">
        <v>151</v>
      </c>
      <c r="M32" t="s">
        <v>69</v>
      </c>
      <c r="N32" t="s">
        <v>152</v>
      </c>
      <c r="O32" t="s">
        <v>69</v>
      </c>
      <c r="P32">
        <v>165.19200000000001</v>
      </c>
      <c r="Q32" t="s">
        <v>69</v>
      </c>
      <c r="R32" t="s">
        <v>69</v>
      </c>
      <c r="S32">
        <v>290</v>
      </c>
      <c r="T32" t="s">
        <v>250</v>
      </c>
      <c r="U32" t="s">
        <v>69</v>
      </c>
      <c r="V32" t="s">
        <v>152</v>
      </c>
      <c r="W32" t="s">
        <v>69</v>
      </c>
      <c r="X32">
        <v>204.22800000000001</v>
      </c>
      <c r="Y32" t="s">
        <v>69</v>
      </c>
      <c r="Z32" t="s">
        <v>69</v>
      </c>
      <c r="AA32">
        <v>291</v>
      </c>
      <c r="AB32" t="s">
        <v>156</v>
      </c>
      <c r="AC32" t="s">
        <v>69</v>
      </c>
      <c r="AD32" t="s">
        <v>120</v>
      </c>
      <c r="AE32" t="s">
        <v>69</v>
      </c>
      <c r="AF32">
        <v>133.10400000000001</v>
      </c>
      <c r="AG32" t="s">
        <v>69</v>
      </c>
      <c r="AH32" t="s">
        <v>69</v>
      </c>
      <c r="AI32">
        <v>292</v>
      </c>
      <c r="AJ32" t="s">
        <v>76</v>
      </c>
      <c r="AK32" t="s">
        <v>69</v>
      </c>
      <c r="AL32" t="s">
        <v>75</v>
      </c>
      <c r="AM32" t="s">
        <v>69</v>
      </c>
      <c r="AN32">
        <v>146.18899999999999</v>
      </c>
      <c r="AO32" t="s">
        <v>69</v>
      </c>
      <c r="AP32" t="s">
        <v>69</v>
      </c>
      <c r="AQ32">
        <v>298</v>
      </c>
      <c r="AR32" t="s">
        <v>72</v>
      </c>
      <c r="AS32" t="s">
        <v>69</v>
      </c>
      <c r="AT32" t="s">
        <v>71</v>
      </c>
      <c r="AU32" t="s">
        <v>69</v>
      </c>
      <c r="AV32">
        <v>131.17500000000001</v>
      </c>
      <c r="AW32" t="s">
        <v>69</v>
      </c>
      <c r="AX32" t="s">
        <v>69</v>
      </c>
      <c r="AY32">
        <v>355</v>
      </c>
      <c r="AZ32" t="s">
        <v>74</v>
      </c>
      <c r="BA32" t="s">
        <v>69</v>
      </c>
      <c r="BB32" t="s">
        <v>75</v>
      </c>
      <c r="BC32" t="s">
        <v>69</v>
      </c>
      <c r="BD32">
        <v>174.203</v>
      </c>
      <c r="BE32" t="s">
        <v>69</v>
      </c>
      <c r="BF32" t="s">
        <v>69</v>
      </c>
    </row>
    <row r="33" spans="1:58" x14ac:dyDescent="0.25">
      <c r="A33">
        <v>7</v>
      </c>
      <c r="B33" t="str">
        <f>HYPERLINK("http://www.ncbi.nlm.nih.gov/protein/XP_039511598.1","XP_039511598.1")</f>
        <v>XP_039511598.1</v>
      </c>
      <c r="C33">
        <v>96114</v>
      </c>
      <c r="D33" t="str">
        <f>HYPERLINK("http://www.ncbi.nlm.nih.gov/Taxonomy/Browser/wwwtax.cgi?mode=Info&amp;id=90988&amp;lvl=3&amp;lin=f&amp;keep=1&amp;srchmode=1&amp;unlock","90988")</f>
        <v>90988</v>
      </c>
      <c r="E33" t="s">
        <v>113</v>
      </c>
      <c r="F33" t="str">
        <f>HYPERLINK("http://www.ncbi.nlm.nih.gov/Taxonomy/Browser/wwwtax.cgi?mode=Info&amp;id=90988&amp;lvl=3&amp;lin=f&amp;keep=1&amp;srchmode=1&amp;unlock","Pimephales promelas")</f>
        <v>Pimephales promelas</v>
      </c>
      <c r="G33" t="s">
        <v>114</v>
      </c>
      <c r="H33" t="str">
        <f>HYPERLINK("http://www.ncbi.nlm.nih.gov/protein/XP_039511598.1","mRNA export factor isoform X2")</f>
        <v>mRNA export factor isoform X2</v>
      </c>
      <c r="I33" t="s">
        <v>267</v>
      </c>
      <c r="J33" t="s">
        <v>69</v>
      </c>
      <c r="K33">
        <v>255</v>
      </c>
      <c r="L33" t="s">
        <v>151</v>
      </c>
      <c r="M33" t="s">
        <v>69</v>
      </c>
      <c r="N33" t="s">
        <v>152</v>
      </c>
      <c r="O33" t="s">
        <v>69</v>
      </c>
      <c r="P33">
        <v>165.19200000000001</v>
      </c>
      <c r="Q33" t="s">
        <v>69</v>
      </c>
      <c r="R33" t="s">
        <v>69</v>
      </c>
      <c r="S33">
        <v>300</v>
      </c>
      <c r="T33" t="s">
        <v>250</v>
      </c>
      <c r="U33" t="s">
        <v>69</v>
      </c>
      <c r="V33" t="s">
        <v>152</v>
      </c>
      <c r="W33" t="s">
        <v>69</v>
      </c>
      <c r="X33">
        <v>204.22800000000001</v>
      </c>
      <c r="Y33" t="s">
        <v>69</v>
      </c>
      <c r="Z33" t="s">
        <v>69</v>
      </c>
      <c r="AA33">
        <v>301</v>
      </c>
      <c r="AB33" t="s">
        <v>156</v>
      </c>
      <c r="AC33" t="s">
        <v>69</v>
      </c>
      <c r="AD33" t="s">
        <v>120</v>
      </c>
      <c r="AE33" t="s">
        <v>69</v>
      </c>
      <c r="AF33">
        <v>133.10400000000001</v>
      </c>
      <c r="AG33" t="s">
        <v>69</v>
      </c>
      <c r="AH33" t="s">
        <v>69</v>
      </c>
      <c r="AI33">
        <v>302</v>
      </c>
      <c r="AJ33" t="s">
        <v>76</v>
      </c>
      <c r="AK33" t="s">
        <v>69</v>
      </c>
      <c r="AL33" t="s">
        <v>75</v>
      </c>
      <c r="AM33" t="s">
        <v>69</v>
      </c>
      <c r="AN33">
        <v>146.18899999999999</v>
      </c>
      <c r="AO33" t="s">
        <v>69</v>
      </c>
      <c r="AP33" t="s">
        <v>69</v>
      </c>
      <c r="AQ33">
        <v>308</v>
      </c>
      <c r="AR33" t="s">
        <v>72</v>
      </c>
      <c r="AS33" t="s">
        <v>69</v>
      </c>
      <c r="AT33" t="s">
        <v>71</v>
      </c>
      <c r="AU33" t="s">
        <v>69</v>
      </c>
      <c r="AV33">
        <v>131.17500000000001</v>
      </c>
      <c r="AW33" t="s">
        <v>69</v>
      </c>
      <c r="AX33" t="s">
        <v>69</v>
      </c>
      <c r="AY33">
        <v>365</v>
      </c>
      <c r="AZ33" t="s">
        <v>74</v>
      </c>
      <c r="BA33" t="s">
        <v>69</v>
      </c>
      <c r="BB33" t="s">
        <v>75</v>
      </c>
      <c r="BC33" t="s">
        <v>69</v>
      </c>
      <c r="BD33">
        <v>174.203</v>
      </c>
      <c r="BE33" t="s">
        <v>69</v>
      </c>
      <c r="BF33" t="s">
        <v>69</v>
      </c>
    </row>
    <row r="34" spans="1:58" x14ac:dyDescent="0.25">
      <c r="A34">
        <v>7</v>
      </c>
      <c r="B34" t="str">
        <f>HYPERLINK("http://www.ncbi.nlm.nih.gov/protein/NP_001091418.1","NP_001091418.1")</f>
        <v>NP_001091418.1</v>
      </c>
      <c r="C34">
        <v>146185</v>
      </c>
      <c r="D34" t="str">
        <f>HYPERLINK("http://www.ncbi.nlm.nih.gov/Taxonomy/Browser/wwwtax.cgi?mode=Info&amp;id=8355&amp;lvl=3&amp;lin=f&amp;keep=1&amp;srchmode=1&amp;unlock","8355")</f>
        <v>8355</v>
      </c>
      <c r="E34" t="s">
        <v>111</v>
      </c>
      <c r="F34" t="str">
        <f>HYPERLINK("http://www.ncbi.nlm.nih.gov/Taxonomy/Browser/wwwtax.cgi?mode=Info&amp;id=8355&amp;lvl=3&amp;lin=f&amp;keep=1&amp;srchmode=1&amp;unlock","Xenopus laevis")</f>
        <v>Xenopus laevis</v>
      </c>
      <c r="G34" t="s">
        <v>112</v>
      </c>
      <c r="H34" t="str">
        <f>HYPERLINK("http://www.ncbi.nlm.nih.gov/protein/NP_001091418.1","ribonucleic acid export 1 L homeolog")</f>
        <v>ribonucleic acid export 1 L homeolog</v>
      </c>
      <c r="I34" t="s">
        <v>267</v>
      </c>
      <c r="J34" t="s">
        <v>69</v>
      </c>
      <c r="K34">
        <v>255</v>
      </c>
      <c r="L34" t="s">
        <v>151</v>
      </c>
      <c r="M34" t="s">
        <v>69</v>
      </c>
      <c r="N34" t="s">
        <v>152</v>
      </c>
      <c r="O34" t="s">
        <v>69</v>
      </c>
      <c r="P34">
        <v>165.19200000000001</v>
      </c>
      <c r="Q34" t="s">
        <v>69</v>
      </c>
      <c r="R34" t="s">
        <v>69</v>
      </c>
      <c r="S34">
        <v>300</v>
      </c>
      <c r="T34" t="s">
        <v>250</v>
      </c>
      <c r="U34" t="s">
        <v>69</v>
      </c>
      <c r="V34" t="s">
        <v>152</v>
      </c>
      <c r="W34" t="s">
        <v>69</v>
      </c>
      <c r="X34">
        <v>204.22800000000001</v>
      </c>
      <c r="Y34" t="s">
        <v>69</v>
      </c>
      <c r="Z34" t="s">
        <v>69</v>
      </c>
      <c r="AA34">
        <v>301</v>
      </c>
      <c r="AB34" t="s">
        <v>156</v>
      </c>
      <c r="AC34" t="s">
        <v>69</v>
      </c>
      <c r="AD34" t="s">
        <v>120</v>
      </c>
      <c r="AE34" t="s">
        <v>69</v>
      </c>
      <c r="AF34">
        <v>133.10400000000001</v>
      </c>
      <c r="AG34" t="s">
        <v>69</v>
      </c>
      <c r="AH34" t="s">
        <v>69</v>
      </c>
      <c r="AI34">
        <v>302</v>
      </c>
      <c r="AJ34" t="s">
        <v>76</v>
      </c>
      <c r="AK34" t="s">
        <v>69</v>
      </c>
      <c r="AL34" t="s">
        <v>75</v>
      </c>
      <c r="AM34" t="s">
        <v>69</v>
      </c>
      <c r="AN34">
        <v>146.18899999999999</v>
      </c>
      <c r="AO34" t="s">
        <v>69</v>
      </c>
      <c r="AP34" t="s">
        <v>69</v>
      </c>
      <c r="AQ34">
        <v>308</v>
      </c>
      <c r="AR34" t="s">
        <v>72</v>
      </c>
      <c r="AS34" t="s">
        <v>69</v>
      </c>
      <c r="AT34" t="s">
        <v>71</v>
      </c>
      <c r="AU34" t="s">
        <v>69</v>
      </c>
      <c r="AV34">
        <v>131.17500000000001</v>
      </c>
      <c r="AW34" t="s">
        <v>69</v>
      </c>
      <c r="AX34" t="s">
        <v>69</v>
      </c>
      <c r="AY34">
        <v>365</v>
      </c>
      <c r="AZ34" t="s">
        <v>74</v>
      </c>
      <c r="BA34" t="s">
        <v>69</v>
      </c>
      <c r="BB34" t="s">
        <v>75</v>
      </c>
      <c r="BC34" t="s">
        <v>69</v>
      </c>
      <c r="BD34">
        <v>174.203</v>
      </c>
      <c r="BE34" t="s">
        <v>69</v>
      </c>
      <c r="BF34" t="s">
        <v>69</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5"/>
  <sheetViews>
    <sheetView workbookViewId="0"/>
  </sheetViews>
  <sheetFormatPr defaultRowHeight="15" x14ac:dyDescent="0.25"/>
  <cols>
    <col min="8" max="8" width="60.42578125" customWidth="1"/>
  </cols>
  <sheetData>
    <row r="1" spans="1:66"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row>
    <row r="2" spans="1:66" x14ac:dyDescent="0.25">
      <c r="A2">
        <v>7</v>
      </c>
      <c r="B2" t="str">
        <f>HYPERLINK("http://www.ncbi.nlm.nih.gov/protein/NP_009330.1","NP_009330.1")</f>
        <v>NP_009330.1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HYPERLINK("http://www.ncbi.nlm.nih.gov/protein/NP_009330.1","signal transducer and activator of transcription 1-alpha/beta isoform alpha")</f>
        <v>signal transducer and activator of transcription 1-alpha/beta isoform alpha</v>
      </c>
      <c r="I2" t="s">
        <v>268</v>
      </c>
      <c r="J2" t="s">
        <v>69</v>
      </c>
      <c r="K2">
        <v>628</v>
      </c>
      <c r="L2" t="s">
        <v>151</v>
      </c>
      <c r="M2" t="s">
        <v>69</v>
      </c>
      <c r="N2" t="s">
        <v>152</v>
      </c>
      <c r="O2" t="s">
        <v>69</v>
      </c>
      <c r="P2">
        <v>165.19200000000001</v>
      </c>
      <c r="Q2" t="s">
        <v>69</v>
      </c>
      <c r="R2" t="s">
        <v>69</v>
      </c>
      <c r="S2">
        <v>629</v>
      </c>
      <c r="T2" t="s">
        <v>157</v>
      </c>
      <c r="U2" t="s">
        <v>69</v>
      </c>
      <c r="V2" t="s">
        <v>75</v>
      </c>
      <c r="W2" t="s">
        <v>69</v>
      </c>
      <c r="X2">
        <v>155.15600000000001</v>
      </c>
      <c r="Y2" t="s">
        <v>69</v>
      </c>
      <c r="Z2" t="s">
        <v>69</v>
      </c>
      <c r="AA2">
        <v>630</v>
      </c>
      <c r="AB2" t="s">
        <v>73</v>
      </c>
      <c r="AC2" t="s">
        <v>69</v>
      </c>
      <c r="AD2" t="s">
        <v>71</v>
      </c>
      <c r="AE2" t="s">
        <v>69</v>
      </c>
      <c r="AF2">
        <v>89.093999999999994</v>
      </c>
      <c r="AG2" t="s">
        <v>69</v>
      </c>
      <c r="AH2" t="s">
        <v>69</v>
      </c>
      <c r="AI2">
        <v>631</v>
      </c>
      <c r="AJ2" t="s">
        <v>115</v>
      </c>
      <c r="AK2" t="s">
        <v>69</v>
      </c>
      <c r="AL2" t="s">
        <v>71</v>
      </c>
      <c r="AM2" t="s">
        <v>69</v>
      </c>
      <c r="AN2">
        <v>117.148</v>
      </c>
      <c r="AO2" t="s">
        <v>69</v>
      </c>
      <c r="AP2" t="s">
        <v>69</v>
      </c>
      <c r="AQ2">
        <v>632</v>
      </c>
      <c r="AR2" t="s">
        <v>119</v>
      </c>
      <c r="AS2" t="s">
        <v>69</v>
      </c>
      <c r="AT2" t="s">
        <v>120</v>
      </c>
      <c r="AU2" t="s">
        <v>69</v>
      </c>
      <c r="AV2">
        <v>147.131</v>
      </c>
      <c r="AW2" t="s">
        <v>69</v>
      </c>
      <c r="AX2" t="s">
        <v>69</v>
      </c>
      <c r="AY2">
        <v>651</v>
      </c>
      <c r="AZ2" t="s">
        <v>69</v>
      </c>
      <c r="BA2" t="s">
        <v>69</v>
      </c>
      <c r="BB2" t="s">
        <v>152</v>
      </c>
      <c r="BC2" t="s">
        <v>69</v>
      </c>
      <c r="BD2">
        <v>181.191</v>
      </c>
      <c r="BE2" t="s">
        <v>69</v>
      </c>
      <c r="BF2" t="s">
        <v>69</v>
      </c>
      <c r="BG2">
        <v>652</v>
      </c>
      <c r="BH2" t="s">
        <v>76</v>
      </c>
      <c r="BI2" t="s">
        <v>69</v>
      </c>
      <c r="BJ2" t="s">
        <v>75</v>
      </c>
      <c r="BK2" t="s">
        <v>69</v>
      </c>
      <c r="BL2">
        <v>146.18899999999999</v>
      </c>
      <c r="BM2" t="s">
        <v>69</v>
      </c>
      <c r="BN2" t="s">
        <v>69</v>
      </c>
    </row>
    <row r="3" spans="1:66" x14ac:dyDescent="0.25">
      <c r="A3">
        <v>7</v>
      </c>
      <c r="B3" t="str">
        <f>HYPERLINK("http://www.ncbi.nlm.nih.gov/protein/XP_018877552.1","XP_018877552.1")</f>
        <v>XP_018877552.1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HYPERLINK("http://www.ncbi.nlm.nih.gov/protein/XP_018877552.1","signal transducer and activator of transcription 1-alpha/beta")</f>
        <v>signal transducer and activator of transcription 1-alpha/beta</v>
      </c>
      <c r="I3" t="s">
        <v>268</v>
      </c>
      <c r="J3" t="s">
        <v>69</v>
      </c>
      <c r="K3">
        <v>628</v>
      </c>
      <c r="L3" t="s">
        <v>151</v>
      </c>
      <c r="M3" t="s">
        <v>69</v>
      </c>
      <c r="N3" t="s">
        <v>152</v>
      </c>
      <c r="O3" t="s">
        <v>69</v>
      </c>
      <c r="P3">
        <v>165.19200000000001</v>
      </c>
      <c r="Q3" t="s">
        <v>69</v>
      </c>
      <c r="R3" t="s">
        <v>69</v>
      </c>
      <c r="S3">
        <v>629</v>
      </c>
      <c r="T3" t="s">
        <v>157</v>
      </c>
      <c r="U3" t="s">
        <v>69</v>
      </c>
      <c r="V3" t="s">
        <v>75</v>
      </c>
      <c r="W3" t="s">
        <v>69</v>
      </c>
      <c r="X3">
        <v>155.15600000000001</v>
      </c>
      <c r="Y3" t="s">
        <v>69</v>
      </c>
      <c r="Z3" t="s">
        <v>69</v>
      </c>
      <c r="AA3">
        <v>630</v>
      </c>
      <c r="AB3" t="s">
        <v>73</v>
      </c>
      <c r="AC3" t="s">
        <v>69</v>
      </c>
      <c r="AD3" t="s">
        <v>71</v>
      </c>
      <c r="AE3" t="s">
        <v>69</v>
      </c>
      <c r="AF3">
        <v>89.093999999999994</v>
      </c>
      <c r="AG3" t="s">
        <v>69</v>
      </c>
      <c r="AH3" t="s">
        <v>69</v>
      </c>
      <c r="AI3">
        <v>631</v>
      </c>
      <c r="AJ3" t="s">
        <v>115</v>
      </c>
      <c r="AK3" t="s">
        <v>69</v>
      </c>
      <c r="AL3" t="s">
        <v>71</v>
      </c>
      <c r="AM3" t="s">
        <v>69</v>
      </c>
      <c r="AN3">
        <v>117.148</v>
      </c>
      <c r="AO3" t="s">
        <v>69</v>
      </c>
      <c r="AP3" t="s">
        <v>69</v>
      </c>
      <c r="AQ3">
        <v>632</v>
      </c>
      <c r="AR3" t="s">
        <v>119</v>
      </c>
      <c r="AS3" t="s">
        <v>69</v>
      </c>
      <c r="AT3" t="s">
        <v>120</v>
      </c>
      <c r="AU3" t="s">
        <v>69</v>
      </c>
      <c r="AV3">
        <v>147.131</v>
      </c>
      <c r="AW3" t="s">
        <v>69</v>
      </c>
      <c r="AX3" t="s">
        <v>69</v>
      </c>
      <c r="AY3">
        <v>651</v>
      </c>
      <c r="AZ3" t="s">
        <v>69</v>
      </c>
      <c r="BA3" t="s">
        <v>69</v>
      </c>
      <c r="BB3" t="s">
        <v>152</v>
      </c>
      <c r="BC3" t="s">
        <v>69</v>
      </c>
      <c r="BD3">
        <v>181.191</v>
      </c>
      <c r="BE3" t="s">
        <v>69</v>
      </c>
      <c r="BF3" t="s">
        <v>69</v>
      </c>
      <c r="BG3">
        <v>652</v>
      </c>
      <c r="BH3" t="s">
        <v>76</v>
      </c>
      <c r="BI3" t="s">
        <v>69</v>
      </c>
      <c r="BJ3" t="s">
        <v>75</v>
      </c>
      <c r="BK3" t="s">
        <v>69</v>
      </c>
      <c r="BL3">
        <v>146.18899999999999</v>
      </c>
      <c r="BM3" t="s">
        <v>69</v>
      </c>
      <c r="BN3" t="s">
        <v>69</v>
      </c>
    </row>
    <row r="4" spans="1:66" x14ac:dyDescent="0.25">
      <c r="A4">
        <v>7</v>
      </c>
      <c r="B4" t="str">
        <f>HYPERLINK("http://www.ncbi.nlm.nih.gov/protein/NP_001248543.1","NP_001248543.1")</f>
        <v>NP_001248543.1</v>
      </c>
      <c r="C4">
        <v>178339</v>
      </c>
      <c r="D4" t="str">
        <f>HYPERLINK("http://www.ncbi.nlm.nih.gov/Taxonomy/Browser/wwwtax.cgi?mode=Info&amp;id=9544&amp;lvl=3&amp;lin=f&amp;keep=1&amp;srchmode=1&amp;unlock","9544")</f>
        <v>9544</v>
      </c>
      <c r="E4" t="s">
        <v>66</v>
      </c>
      <c r="F4" t="str">
        <f>HYPERLINK("http://www.ncbi.nlm.nih.gov/Taxonomy/Browser/wwwtax.cgi?mode=Info&amp;id=9544&amp;lvl=3&amp;lin=f&amp;keep=1&amp;srchmode=1&amp;unlock","Macaca mulatta")</f>
        <v>Macaca mulatta</v>
      </c>
      <c r="G4" t="s">
        <v>77</v>
      </c>
      <c r="H4" t="str">
        <f>HYPERLINK("http://www.ncbi.nlm.nih.gov/protein/NP_001248543.1","signal transducer and activator of transcription 1-alpha/beta")</f>
        <v>signal transducer and activator of transcription 1-alpha/beta</v>
      </c>
      <c r="I4" t="s">
        <v>268</v>
      </c>
      <c r="J4" t="s">
        <v>69</v>
      </c>
      <c r="K4">
        <v>628</v>
      </c>
      <c r="L4" t="s">
        <v>151</v>
      </c>
      <c r="M4" t="s">
        <v>69</v>
      </c>
      <c r="N4" t="s">
        <v>152</v>
      </c>
      <c r="O4" t="s">
        <v>69</v>
      </c>
      <c r="P4">
        <v>165.19200000000001</v>
      </c>
      <c r="Q4" t="s">
        <v>69</v>
      </c>
      <c r="R4" t="s">
        <v>69</v>
      </c>
      <c r="S4">
        <v>629</v>
      </c>
      <c r="T4" t="s">
        <v>157</v>
      </c>
      <c r="U4" t="s">
        <v>69</v>
      </c>
      <c r="V4" t="s">
        <v>75</v>
      </c>
      <c r="W4" t="s">
        <v>69</v>
      </c>
      <c r="X4">
        <v>155.15600000000001</v>
      </c>
      <c r="Y4" t="s">
        <v>69</v>
      </c>
      <c r="Z4" t="s">
        <v>69</v>
      </c>
      <c r="AA4">
        <v>630</v>
      </c>
      <c r="AB4" t="s">
        <v>73</v>
      </c>
      <c r="AC4" t="s">
        <v>69</v>
      </c>
      <c r="AD4" t="s">
        <v>71</v>
      </c>
      <c r="AE4" t="s">
        <v>69</v>
      </c>
      <c r="AF4">
        <v>89.093999999999994</v>
      </c>
      <c r="AG4" t="s">
        <v>69</v>
      </c>
      <c r="AH4" t="s">
        <v>69</v>
      </c>
      <c r="AI4">
        <v>631</v>
      </c>
      <c r="AJ4" t="s">
        <v>115</v>
      </c>
      <c r="AK4" t="s">
        <v>69</v>
      </c>
      <c r="AL4" t="s">
        <v>71</v>
      </c>
      <c r="AM4" t="s">
        <v>69</v>
      </c>
      <c r="AN4">
        <v>117.148</v>
      </c>
      <c r="AO4" t="s">
        <v>69</v>
      </c>
      <c r="AP4" t="s">
        <v>69</v>
      </c>
      <c r="AQ4">
        <v>632</v>
      </c>
      <c r="AR4" t="s">
        <v>119</v>
      </c>
      <c r="AS4" t="s">
        <v>69</v>
      </c>
      <c r="AT4" t="s">
        <v>120</v>
      </c>
      <c r="AU4" t="s">
        <v>69</v>
      </c>
      <c r="AV4">
        <v>147.131</v>
      </c>
      <c r="AW4" t="s">
        <v>69</v>
      </c>
      <c r="AX4" t="s">
        <v>69</v>
      </c>
      <c r="AY4">
        <v>651</v>
      </c>
      <c r="AZ4" t="s">
        <v>69</v>
      </c>
      <c r="BA4" t="s">
        <v>69</v>
      </c>
      <c r="BB4" t="s">
        <v>152</v>
      </c>
      <c r="BC4" t="s">
        <v>69</v>
      </c>
      <c r="BD4">
        <v>181.191</v>
      </c>
      <c r="BE4" t="s">
        <v>69</v>
      </c>
      <c r="BF4" t="s">
        <v>69</v>
      </c>
      <c r="BG4">
        <v>652</v>
      </c>
      <c r="BH4" t="s">
        <v>76</v>
      </c>
      <c r="BI4" t="s">
        <v>69</v>
      </c>
      <c r="BJ4" t="s">
        <v>75</v>
      </c>
      <c r="BK4" t="s">
        <v>69</v>
      </c>
      <c r="BL4">
        <v>146.18899999999999</v>
      </c>
      <c r="BM4" t="s">
        <v>69</v>
      </c>
      <c r="BN4" t="s">
        <v>69</v>
      </c>
    </row>
    <row r="5" spans="1:66" x14ac:dyDescent="0.25">
      <c r="A5">
        <v>7</v>
      </c>
      <c r="B5" t="str">
        <f>HYPERLINK("http://www.ncbi.nlm.nih.gov/protein/XP_007963860.1","XP_007963860.1")</f>
        <v>XP_007963860.1</v>
      </c>
      <c r="C5">
        <v>62302</v>
      </c>
      <c r="D5" t="str">
        <f>HYPERLINK("http://www.ncbi.nlm.nih.gov/Taxonomy/Browser/wwwtax.cgi?mode=Info&amp;id=60711&amp;lvl=3&amp;lin=f&amp;keep=1&amp;srchmode=1&amp;unlock","60711")</f>
        <v>60711</v>
      </c>
      <c r="E5" t="s">
        <v>66</v>
      </c>
      <c r="F5" t="str">
        <f>HYPERLINK("http://www.ncbi.nlm.nih.gov/Taxonomy/Browser/wwwtax.cgi?mode=Info&amp;id=60711&amp;lvl=3&amp;lin=f&amp;keep=1&amp;srchmode=1&amp;unlock","Chlorocebus sabaeus")</f>
        <v>Chlorocebus sabaeus</v>
      </c>
      <c r="G5" t="s">
        <v>78</v>
      </c>
      <c r="H5" t="str">
        <f>HYPERLINK("http://www.ncbi.nlm.nih.gov/protein/XP_007963860.1","signal transducer and activator of transcription 1-alpha/beta")</f>
        <v>signal transducer and activator of transcription 1-alpha/beta</v>
      </c>
      <c r="I5" t="s">
        <v>268</v>
      </c>
      <c r="J5" t="s">
        <v>69</v>
      </c>
      <c r="K5">
        <v>628</v>
      </c>
      <c r="L5" t="s">
        <v>151</v>
      </c>
      <c r="M5" t="s">
        <v>69</v>
      </c>
      <c r="N5" t="s">
        <v>152</v>
      </c>
      <c r="O5" t="s">
        <v>69</v>
      </c>
      <c r="P5">
        <v>165.19200000000001</v>
      </c>
      <c r="Q5" t="s">
        <v>69</v>
      </c>
      <c r="R5" t="s">
        <v>69</v>
      </c>
      <c r="S5">
        <v>629</v>
      </c>
      <c r="T5" t="s">
        <v>157</v>
      </c>
      <c r="U5" t="s">
        <v>69</v>
      </c>
      <c r="V5" t="s">
        <v>75</v>
      </c>
      <c r="W5" t="s">
        <v>69</v>
      </c>
      <c r="X5">
        <v>155.15600000000001</v>
      </c>
      <c r="Y5" t="s">
        <v>69</v>
      </c>
      <c r="Z5" t="s">
        <v>69</v>
      </c>
      <c r="AA5">
        <v>630</v>
      </c>
      <c r="AB5" t="s">
        <v>73</v>
      </c>
      <c r="AC5" t="s">
        <v>69</v>
      </c>
      <c r="AD5" t="s">
        <v>71</v>
      </c>
      <c r="AE5" t="s">
        <v>69</v>
      </c>
      <c r="AF5">
        <v>89.093999999999994</v>
      </c>
      <c r="AG5" t="s">
        <v>69</v>
      </c>
      <c r="AH5" t="s">
        <v>69</v>
      </c>
      <c r="AI5">
        <v>631</v>
      </c>
      <c r="AJ5" t="s">
        <v>115</v>
      </c>
      <c r="AK5" t="s">
        <v>69</v>
      </c>
      <c r="AL5" t="s">
        <v>71</v>
      </c>
      <c r="AM5" t="s">
        <v>69</v>
      </c>
      <c r="AN5">
        <v>117.148</v>
      </c>
      <c r="AO5" t="s">
        <v>69</v>
      </c>
      <c r="AP5" t="s">
        <v>69</v>
      </c>
      <c r="AQ5">
        <v>632</v>
      </c>
      <c r="AR5" t="s">
        <v>119</v>
      </c>
      <c r="AS5" t="s">
        <v>69</v>
      </c>
      <c r="AT5" t="s">
        <v>120</v>
      </c>
      <c r="AU5" t="s">
        <v>69</v>
      </c>
      <c r="AV5">
        <v>147.131</v>
      </c>
      <c r="AW5" t="s">
        <v>69</v>
      </c>
      <c r="AX5" t="s">
        <v>69</v>
      </c>
      <c r="AY5">
        <v>651</v>
      </c>
      <c r="AZ5" t="s">
        <v>69</v>
      </c>
      <c r="BA5" t="s">
        <v>69</v>
      </c>
      <c r="BB5" t="s">
        <v>152</v>
      </c>
      <c r="BC5" t="s">
        <v>69</v>
      </c>
      <c r="BD5">
        <v>181.191</v>
      </c>
      <c r="BE5" t="s">
        <v>69</v>
      </c>
      <c r="BF5" t="s">
        <v>69</v>
      </c>
      <c r="BG5">
        <v>652</v>
      </c>
      <c r="BH5" t="s">
        <v>76</v>
      </c>
      <c r="BI5" t="s">
        <v>69</v>
      </c>
      <c r="BJ5" t="s">
        <v>75</v>
      </c>
      <c r="BK5" t="s">
        <v>69</v>
      </c>
      <c r="BL5">
        <v>146.18899999999999</v>
      </c>
      <c r="BM5" t="s">
        <v>69</v>
      </c>
      <c r="BN5" t="s">
        <v>69</v>
      </c>
    </row>
    <row r="6" spans="1:66" x14ac:dyDescent="0.25">
      <c r="A6">
        <v>7</v>
      </c>
      <c r="B6" t="str">
        <f>HYPERLINK("http://www.ncbi.nlm.nih.gov/protein/XP_003907787.1","XP_003907787.1")</f>
        <v>XP_003907787.1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HYPERLINK("http://www.ncbi.nlm.nih.gov/protein/XP_003907787.1","signal transducer and activator of transcription 1-alpha/beta")</f>
        <v>signal transducer and activator of transcription 1-alpha/beta</v>
      </c>
      <c r="I6" t="s">
        <v>268</v>
      </c>
      <c r="J6" t="s">
        <v>69</v>
      </c>
      <c r="K6">
        <v>628</v>
      </c>
      <c r="L6" t="s">
        <v>151</v>
      </c>
      <c r="M6" t="s">
        <v>69</v>
      </c>
      <c r="N6" t="s">
        <v>152</v>
      </c>
      <c r="O6" t="s">
        <v>69</v>
      </c>
      <c r="P6">
        <v>165.19200000000001</v>
      </c>
      <c r="Q6" t="s">
        <v>69</v>
      </c>
      <c r="R6" t="s">
        <v>69</v>
      </c>
      <c r="S6">
        <v>629</v>
      </c>
      <c r="T6" t="s">
        <v>157</v>
      </c>
      <c r="U6" t="s">
        <v>69</v>
      </c>
      <c r="V6" t="s">
        <v>75</v>
      </c>
      <c r="W6" t="s">
        <v>69</v>
      </c>
      <c r="X6">
        <v>155.15600000000001</v>
      </c>
      <c r="Y6" t="s">
        <v>69</v>
      </c>
      <c r="Z6" t="s">
        <v>69</v>
      </c>
      <c r="AA6">
        <v>630</v>
      </c>
      <c r="AB6" t="s">
        <v>73</v>
      </c>
      <c r="AC6" t="s">
        <v>69</v>
      </c>
      <c r="AD6" t="s">
        <v>71</v>
      </c>
      <c r="AE6" t="s">
        <v>69</v>
      </c>
      <c r="AF6">
        <v>89.093999999999994</v>
      </c>
      <c r="AG6" t="s">
        <v>69</v>
      </c>
      <c r="AH6" t="s">
        <v>69</v>
      </c>
      <c r="AI6">
        <v>631</v>
      </c>
      <c r="AJ6" t="s">
        <v>115</v>
      </c>
      <c r="AK6" t="s">
        <v>69</v>
      </c>
      <c r="AL6" t="s">
        <v>71</v>
      </c>
      <c r="AM6" t="s">
        <v>69</v>
      </c>
      <c r="AN6">
        <v>117.148</v>
      </c>
      <c r="AO6" t="s">
        <v>69</v>
      </c>
      <c r="AP6" t="s">
        <v>69</v>
      </c>
      <c r="AQ6">
        <v>632</v>
      </c>
      <c r="AR6" t="s">
        <v>119</v>
      </c>
      <c r="AS6" t="s">
        <v>69</v>
      </c>
      <c r="AT6" t="s">
        <v>120</v>
      </c>
      <c r="AU6" t="s">
        <v>69</v>
      </c>
      <c r="AV6">
        <v>147.131</v>
      </c>
      <c r="AW6" t="s">
        <v>69</v>
      </c>
      <c r="AX6" t="s">
        <v>69</v>
      </c>
      <c r="AY6">
        <v>651</v>
      </c>
      <c r="AZ6" t="s">
        <v>69</v>
      </c>
      <c r="BA6" t="s">
        <v>69</v>
      </c>
      <c r="BB6" t="s">
        <v>152</v>
      </c>
      <c r="BC6" t="s">
        <v>69</v>
      </c>
      <c r="BD6">
        <v>181.191</v>
      </c>
      <c r="BE6" t="s">
        <v>69</v>
      </c>
      <c r="BF6" t="s">
        <v>69</v>
      </c>
      <c r="BG6">
        <v>652</v>
      </c>
      <c r="BH6" t="s">
        <v>76</v>
      </c>
      <c r="BI6" t="s">
        <v>69</v>
      </c>
      <c r="BJ6" t="s">
        <v>75</v>
      </c>
      <c r="BK6" t="s">
        <v>69</v>
      </c>
      <c r="BL6">
        <v>146.18899999999999</v>
      </c>
      <c r="BM6" t="s">
        <v>69</v>
      </c>
      <c r="BN6" t="s">
        <v>69</v>
      </c>
    </row>
    <row r="7" spans="1:66" x14ac:dyDescent="0.25">
      <c r="A7">
        <v>7</v>
      </c>
      <c r="B7" t="str">
        <f>HYPERLINK("http://www.ncbi.nlm.nih.gov/protein/XP_002749614.1","XP_002749614.1")</f>
        <v>XP_002749614.1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HYPERLINK("http://www.ncbi.nlm.nih.gov/protein/XP_002749614.1","signal transducer and activator of transcription 1-alpha/beta")</f>
        <v>signal transducer and activator of transcription 1-alpha/beta</v>
      </c>
      <c r="I7" t="s">
        <v>268</v>
      </c>
      <c r="J7" t="s">
        <v>69</v>
      </c>
      <c r="K7">
        <v>628</v>
      </c>
      <c r="L7" t="s">
        <v>151</v>
      </c>
      <c r="M7" t="s">
        <v>69</v>
      </c>
      <c r="N7" t="s">
        <v>152</v>
      </c>
      <c r="O7" t="s">
        <v>69</v>
      </c>
      <c r="P7">
        <v>165.19200000000001</v>
      </c>
      <c r="Q7" t="s">
        <v>69</v>
      </c>
      <c r="R7" t="s">
        <v>69</v>
      </c>
      <c r="S7">
        <v>629</v>
      </c>
      <c r="T7" t="s">
        <v>157</v>
      </c>
      <c r="U7" t="s">
        <v>69</v>
      </c>
      <c r="V7" t="s">
        <v>75</v>
      </c>
      <c r="W7" t="s">
        <v>69</v>
      </c>
      <c r="X7">
        <v>155.15600000000001</v>
      </c>
      <c r="Y7" t="s">
        <v>69</v>
      </c>
      <c r="Z7" t="s">
        <v>69</v>
      </c>
      <c r="AA7">
        <v>630</v>
      </c>
      <c r="AB7" t="s">
        <v>73</v>
      </c>
      <c r="AC7" t="s">
        <v>69</v>
      </c>
      <c r="AD7" t="s">
        <v>71</v>
      </c>
      <c r="AE7" t="s">
        <v>69</v>
      </c>
      <c r="AF7">
        <v>89.093999999999994</v>
      </c>
      <c r="AG7" t="s">
        <v>69</v>
      </c>
      <c r="AH7" t="s">
        <v>69</v>
      </c>
      <c r="AI7">
        <v>631</v>
      </c>
      <c r="AJ7" t="s">
        <v>115</v>
      </c>
      <c r="AK7" t="s">
        <v>69</v>
      </c>
      <c r="AL7" t="s">
        <v>71</v>
      </c>
      <c r="AM7" t="s">
        <v>69</v>
      </c>
      <c r="AN7">
        <v>117.148</v>
      </c>
      <c r="AO7" t="s">
        <v>69</v>
      </c>
      <c r="AP7" t="s">
        <v>69</v>
      </c>
      <c r="AQ7">
        <v>632</v>
      </c>
      <c r="AR7" t="s">
        <v>119</v>
      </c>
      <c r="AS7" t="s">
        <v>69</v>
      </c>
      <c r="AT7" t="s">
        <v>120</v>
      </c>
      <c r="AU7" t="s">
        <v>69</v>
      </c>
      <c r="AV7">
        <v>147.131</v>
      </c>
      <c r="AW7" t="s">
        <v>69</v>
      </c>
      <c r="AX7" t="s">
        <v>69</v>
      </c>
      <c r="AY7">
        <v>651</v>
      </c>
      <c r="AZ7" t="s">
        <v>69</v>
      </c>
      <c r="BA7" t="s">
        <v>69</v>
      </c>
      <c r="BB7" t="s">
        <v>152</v>
      </c>
      <c r="BC7" t="s">
        <v>69</v>
      </c>
      <c r="BD7">
        <v>181.191</v>
      </c>
      <c r="BE7" t="s">
        <v>69</v>
      </c>
      <c r="BF7" t="s">
        <v>69</v>
      </c>
      <c r="BG7">
        <v>652</v>
      </c>
      <c r="BH7" t="s">
        <v>76</v>
      </c>
      <c r="BI7" t="s">
        <v>69</v>
      </c>
      <c r="BJ7" t="s">
        <v>75</v>
      </c>
      <c r="BK7" t="s">
        <v>69</v>
      </c>
      <c r="BL7">
        <v>146.18899999999999</v>
      </c>
      <c r="BM7" t="s">
        <v>69</v>
      </c>
      <c r="BN7" t="s">
        <v>69</v>
      </c>
    </row>
    <row r="8" spans="1:66" x14ac:dyDescent="0.25">
      <c r="A8">
        <v>7</v>
      </c>
      <c r="B8" t="str">
        <f>HYPERLINK("http://www.ncbi.nlm.nih.gov/protein/XP_006935505.1","XP_006935505.1")</f>
        <v>XP_006935505.1</v>
      </c>
      <c r="C8">
        <v>74287</v>
      </c>
      <c r="D8" t="str">
        <f>HYPERLINK("http://www.ncbi.nlm.nih.gov/Taxonomy/Browser/wwwtax.cgi?mode=Info&amp;id=9685&amp;lvl=3&amp;lin=f&amp;keep=1&amp;srchmode=1&amp;unlock","9685")</f>
        <v>9685</v>
      </c>
      <c r="E8" t="s">
        <v>66</v>
      </c>
      <c r="F8" t="str">
        <f>HYPERLINK("http://www.ncbi.nlm.nih.gov/Taxonomy/Browser/wwwtax.cgi?mode=Info&amp;id=9685&amp;lvl=3&amp;lin=f&amp;keep=1&amp;srchmode=1&amp;unlock","Felis catus")</f>
        <v>Felis catus</v>
      </c>
      <c r="G8" t="s">
        <v>86</v>
      </c>
      <c r="H8" t="str">
        <f>HYPERLINK("http://www.ncbi.nlm.nih.gov/protein/XP_006935505.1","signal transducer and activator of transcription 1-alpha/beta")</f>
        <v>signal transducer and activator of transcription 1-alpha/beta</v>
      </c>
      <c r="I8" t="s">
        <v>268</v>
      </c>
      <c r="J8" t="s">
        <v>69</v>
      </c>
      <c r="K8">
        <v>628</v>
      </c>
      <c r="L8" t="s">
        <v>151</v>
      </c>
      <c r="M8" t="s">
        <v>69</v>
      </c>
      <c r="N8" t="s">
        <v>152</v>
      </c>
      <c r="O8" t="s">
        <v>69</v>
      </c>
      <c r="P8">
        <v>165.19200000000001</v>
      </c>
      <c r="Q8" t="s">
        <v>69</v>
      </c>
      <c r="R8" t="s">
        <v>69</v>
      </c>
      <c r="S8">
        <v>629</v>
      </c>
      <c r="T8" t="s">
        <v>157</v>
      </c>
      <c r="U8" t="s">
        <v>69</v>
      </c>
      <c r="V8" t="s">
        <v>75</v>
      </c>
      <c r="W8" t="s">
        <v>69</v>
      </c>
      <c r="X8">
        <v>155.15600000000001</v>
      </c>
      <c r="Y8" t="s">
        <v>69</v>
      </c>
      <c r="Z8" t="s">
        <v>69</v>
      </c>
      <c r="AA8">
        <v>630</v>
      </c>
      <c r="AB8" t="s">
        <v>73</v>
      </c>
      <c r="AC8" t="s">
        <v>69</v>
      </c>
      <c r="AD8" t="s">
        <v>71</v>
      </c>
      <c r="AE8" t="s">
        <v>69</v>
      </c>
      <c r="AF8">
        <v>89.093999999999994</v>
      </c>
      <c r="AG8" t="s">
        <v>69</v>
      </c>
      <c r="AH8" t="s">
        <v>69</v>
      </c>
      <c r="AI8">
        <v>631</v>
      </c>
      <c r="AJ8" t="s">
        <v>115</v>
      </c>
      <c r="AK8" t="s">
        <v>69</v>
      </c>
      <c r="AL8" t="s">
        <v>71</v>
      </c>
      <c r="AM8" t="s">
        <v>69</v>
      </c>
      <c r="AN8">
        <v>117.148</v>
      </c>
      <c r="AO8" t="s">
        <v>69</v>
      </c>
      <c r="AP8" t="s">
        <v>69</v>
      </c>
      <c r="AQ8">
        <v>632</v>
      </c>
      <c r="AR8" t="s">
        <v>119</v>
      </c>
      <c r="AS8" t="s">
        <v>69</v>
      </c>
      <c r="AT8" t="s">
        <v>120</v>
      </c>
      <c r="AU8" t="s">
        <v>69</v>
      </c>
      <c r="AV8">
        <v>147.131</v>
      </c>
      <c r="AW8" t="s">
        <v>69</v>
      </c>
      <c r="AX8" t="s">
        <v>69</v>
      </c>
      <c r="AY8">
        <v>651</v>
      </c>
      <c r="AZ8" t="s">
        <v>69</v>
      </c>
      <c r="BA8" t="s">
        <v>69</v>
      </c>
      <c r="BB8" t="s">
        <v>152</v>
      </c>
      <c r="BC8" t="s">
        <v>69</v>
      </c>
      <c r="BD8">
        <v>181.191</v>
      </c>
      <c r="BE8" t="s">
        <v>69</v>
      </c>
      <c r="BF8" t="s">
        <v>69</v>
      </c>
      <c r="BG8">
        <v>652</v>
      </c>
      <c r="BH8" t="s">
        <v>76</v>
      </c>
      <c r="BI8" t="s">
        <v>69</v>
      </c>
      <c r="BJ8" t="s">
        <v>75</v>
      </c>
      <c r="BK8" t="s">
        <v>69</v>
      </c>
      <c r="BL8">
        <v>146.18899999999999</v>
      </c>
      <c r="BM8" t="s">
        <v>69</v>
      </c>
      <c r="BN8" t="s">
        <v>69</v>
      </c>
    </row>
    <row r="9" spans="1:66" x14ac:dyDescent="0.25">
      <c r="A9">
        <v>7</v>
      </c>
      <c r="B9" t="str">
        <f>HYPERLINK("http://www.ncbi.nlm.nih.gov/protein/XP_042805437.1","XP_042805437.1")</f>
        <v>XP_042805437.1</v>
      </c>
      <c r="C9">
        <v>53677</v>
      </c>
      <c r="D9" t="str">
        <f>HYPERLINK("http://www.ncbi.nlm.nih.gov/Taxonomy/Browser/wwwtax.cgi?mode=Info&amp;id=9689&amp;lvl=3&amp;lin=f&amp;keep=1&amp;srchmode=1&amp;unlock","9689")</f>
        <v>9689</v>
      </c>
      <c r="E9" t="s">
        <v>66</v>
      </c>
      <c r="F9" t="str">
        <f>HYPERLINK("http://www.ncbi.nlm.nih.gov/Taxonomy/Browser/wwwtax.cgi?mode=Info&amp;id=9689&amp;lvl=3&amp;lin=f&amp;keep=1&amp;srchmode=1&amp;unlock","Panthera leo")</f>
        <v>Panthera leo</v>
      </c>
      <c r="G9" t="s">
        <v>90</v>
      </c>
      <c r="H9" t="str">
        <f>HYPERLINK("http://www.ncbi.nlm.nih.gov/protein/XP_042805437.1","signal transducer and activator of transcription 1-alpha/beta")</f>
        <v>signal transducer and activator of transcription 1-alpha/beta</v>
      </c>
      <c r="I9" t="s">
        <v>268</v>
      </c>
      <c r="J9" t="s">
        <v>69</v>
      </c>
      <c r="K9">
        <v>628</v>
      </c>
      <c r="L9" t="s">
        <v>151</v>
      </c>
      <c r="M9" t="s">
        <v>69</v>
      </c>
      <c r="N9" t="s">
        <v>152</v>
      </c>
      <c r="O9" t="s">
        <v>69</v>
      </c>
      <c r="P9">
        <v>165.19200000000001</v>
      </c>
      <c r="Q9" t="s">
        <v>69</v>
      </c>
      <c r="R9" t="s">
        <v>69</v>
      </c>
      <c r="S9">
        <v>629</v>
      </c>
      <c r="T9" t="s">
        <v>157</v>
      </c>
      <c r="U9" t="s">
        <v>69</v>
      </c>
      <c r="V9" t="s">
        <v>75</v>
      </c>
      <c r="W9" t="s">
        <v>69</v>
      </c>
      <c r="X9">
        <v>155.15600000000001</v>
      </c>
      <c r="Y9" t="s">
        <v>69</v>
      </c>
      <c r="Z9" t="s">
        <v>69</v>
      </c>
      <c r="AA9">
        <v>630</v>
      </c>
      <c r="AB9" t="s">
        <v>73</v>
      </c>
      <c r="AC9" t="s">
        <v>69</v>
      </c>
      <c r="AD9" t="s">
        <v>71</v>
      </c>
      <c r="AE9" t="s">
        <v>69</v>
      </c>
      <c r="AF9">
        <v>89.093999999999994</v>
      </c>
      <c r="AG9" t="s">
        <v>69</v>
      </c>
      <c r="AH9" t="s">
        <v>69</v>
      </c>
      <c r="AI9">
        <v>631</v>
      </c>
      <c r="AJ9" t="s">
        <v>115</v>
      </c>
      <c r="AK9" t="s">
        <v>69</v>
      </c>
      <c r="AL9" t="s">
        <v>71</v>
      </c>
      <c r="AM9" t="s">
        <v>69</v>
      </c>
      <c r="AN9">
        <v>117.148</v>
      </c>
      <c r="AO9" t="s">
        <v>69</v>
      </c>
      <c r="AP9" t="s">
        <v>69</v>
      </c>
      <c r="AQ9">
        <v>632</v>
      </c>
      <c r="AR9" t="s">
        <v>119</v>
      </c>
      <c r="AS9" t="s">
        <v>69</v>
      </c>
      <c r="AT9" t="s">
        <v>120</v>
      </c>
      <c r="AU9" t="s">
        <v>69</v>
      </c>
      <c r="AV9">
        <v>147.131</v>
      </c>
      <c r="AW9" t="s">
        <v>69</v>
      </c>
      <c r="AX9" t="s">
        <v>69</v>
      </c>
      <c r="AY9">
        <v>651</v>
      </c>
      <c r="AZ9" t="s">
        <v>69</v>
      </c>
      <c r="BA9" t="s">
        <v>69</v>
      </c>
      <c r="BB9" t="s">
        <v>152</v>
      </c>
      <c r="BC9" t="s">
        <v>69</v>
      </c>
      <c r="BD9">
        <v>181.191</v>
      </c>
      <c r="BE9" t="s">
        <v>69</v>
      </c>
      <c r="BF9" t="s">
        <v>69</v>
      </c>
      <c r="BG9">
        <v>652</v>
      </c>
      <c r="BH9" t="s">
        <v>76</v>
      </c>
      <c r="BI9" t="s">
        <v>69</v>
      </c>
      <c r="BJ9" t="s">
        <v>75</v>
      </c>
      <c r="BK9" t="s">
        <v>69</v>
      </c>
      <c r="BL9">
        <v>146.18899999999999</v>
      </c>
      <c r="BM9" t="s">
        <v>69</v>
      </c>
      <c r="BN9" t="s">
        <v>69</v>
      </c>
    </row>
    <row r="10" spans="1:66" x14ac:dyDescent="0.25">
      <c r="A10">
        <v>7</v>
      </c>
      <c r="B10" t="str">
        <f>HYPERLINK("http://www.ncbi.nlm.nih.gov/protein/XP_007094755.1","XP_007094755.1")</f>
        <v>XP_007094755.1</v>
      </c>
      <c r="C10">
        <v>56089</v>
      </c>
      <c r="D10" t="str">
        <f>HYPERLINK("http://www.ncbi.nlm.nih.gov/Taxonomy/Browser/wwwtax.cgi?mode=Info&amp;id=9694&amp;lvl=3&amp;lin=f&amp;keep=1&amp;srchmode=1&amp;unlock","9694")</f>
        <v>9694</v>
      </c>
      <c r="E10" t="s">
        <v>66</v>
      </c>
      <c r="F10" t="str">
        <f>HYPERLINK("http://www.ncbi.nlm.nih.gov/Taxonomy/Browser/wwwtax.cgi?mode=Info&amp;id=9694&amp;lvl=3&amp;lin=f&amp;keep=1&amp;srchmode=1&amp;unlock","Panthera tigris")</f>
        <v>Panthera tigris</v>
      </c>
      <c r="G10" t="s">
        <v>89</v>
      </c>
      <c r="H10" t="str">
        <f>HYPERLINK("http://www.ncbi.nlm.nih.gov/protein/XP_007094755.1","signal transducer and activator of transcription 1-alpha/beta")</f>
        <v>signal transducer and activator of transcription 1-alpha/beta</v>
      </c>
      <c r="I10" t="s">
        <v>268</v>
      </c>
      <c r="J10" t="s">
        <v>69</v>
      </c>
      <c r="K10">
        <v>628</v>
      </c>
      <c r="L10" t="s">
        <v>151</v>
      </c>
      <c r="M10" t="s">
        <v>69</v>
      </c>
      <c r="N10" t="s">
        <v>152</v>
      </c>
      <c r="O10" t="s">
        <v>69</v>
      </c>
      <c r="P10">
        <v>165.19200000000001</v>
      </c>
      <c r="Q10" t="s">
        <v>69</v>
      </c>
      <c r="R10" t="s">
        <v>69</v>
      </c>
      <c r="S10">
        <v>629</v>
      </c>
      <c r="T10" t="s">
        <v>157</v>
      </c>
      <c r="U10" t="s">
        <v>69</v>
      </c>
      <c r="V10" t="s">
        <v>75</v>
      </c>
      <c r="W10" t="s">
        <v>69</v>
      </c>
      <c r="X10">
        <v>155.15600000000001</v>
      </c>
      <c r="Y10" t="s">
        <v>69</v>
      </c>
      <c r="Z10" t="s">
        <v>69</v>
      </c>
      <c r="AA10">
        <v>630</v>
      </c>
      <c r="AB10" t="s">
        <v>73</v>
      </c>
      <c r="AC10" t="s">
        <v>69</v>
      </c>
      <c r="AD10" t="s">
        <v>71</v>
      </c>
      <c r="AE10" t="s">
        <v>69</v>
      </c>
      <c r="AF10">
        <v>89.093999999999994</v>
      </c>
      <c r="AG10" t="s">
        <v>69</v>
      </c>
      <c r="AH10" t="s">
        <v>69</v>
      </c>
      <c r="AI10">
        <v>631</v>
      </c>
      <c r="AJ10" t="s">
        <v>115</v>
      </c>
      <c r="AK10" t="s">
        <v>69</v>
      </c>
      <c r="AL10" t="s">
        <v>71</v>
      </c>
      <c r="AM10" t="s">
        <v>69</v>
      </c>
      <c r="AN10">
        <v>117.148</v>
      </c>
      <c r="AO10" t="s">
        <v>69</v>
      </c>
      <c r="AP10" t="s">
        <v>69</v>
      </c>
      <c r="AQ10">
        <v>632</v>
      </c>
      <c r="AR10" t="s">
        <v>119</v>
      </c>
      <c r="AS10" t="s">
        <v>69</v>
      </c>
      <c r="AT10" t="s">
        <v>120</v>
      </c>
      <c r="AU10" t="s">
        <v>69</v>
      </c>
      <c r="AV10">
        <v>147.131</v>
      </c>
      <c r="AW10" t="s">
        <v>69</v>
      </c>
      <c r="AX10" t="s">
        <v>69</v>
      </c>
      <c r="AY10">
        <v>651</v>
      </c>
      <c r="AZ10" t="s">
        <v>69</v>
      </c>
      <c r="BA10" t="s">
        <v>69</v>
      </c>
      <c r="BB10" t="s">
        <v>152</v>
      </c>
      <c r="BC10" t="s">
        <v>69</v>
      </c>
      <c r="BD10">
        <v>181.191</v>
      </c>
      <c r="BE10" t="s">
        <v>69</v>
      </c>
      <c r="BF10" t="s">
        <v>69</v>
      </c>
      <c r="BG10">
        <v>652</v>
      </c>
      <c r="BH10" t="s">
        <v>76</v>
      </c>
      <c r="BI10" t="s">
        <v>69</v>
      </c>
      <c r="BJ10" t="s">
        <v>75</v>
      </c>
      <c r="BK10" t="s">
        <v>69</v>
      </c>
      <c r="BL10">
        <v>146.18899999999999</v>
      </c>
      <c r="BM10" t="s">
        <v>69</v>
      </c>
      <c r="BN10" t="s">
        <v>69</v>
      </c>
    </row>
    <row r="11" spans="1:66" x14ac:dyDescent="0.25">
      <c r="A11">
        <v>7</v>
      </c>
      <c r="B11" t="str">
        <f>HYPERLINK("http://www.ncbi.nlm.nih.gov/protein/XP_025788676.1","XP_025788676.1")</f>
        <v>XP_025788676.1</v>
      </c>
      <c r="C11">
        <v>23623</v>
      </c>
      <c r="D11" t="str">
        <f>HYPERLINK("http://www.ncbi.nlm.nih.gov/Taxonomy/Browser/wwwtax.cgi?mode=Info&amp;id=9696&amp;lvl=3&amp;lin=f&amp;keep=1&amp;srchmode=1&amp;unlock","9696")</f>
        <v>9696</v>
      </c>
      <c r="E11" t="s">
        <v>66</v>
      </c>
      <c r="F11" t="str">
        <f>HYPERLINK("http://www.ncbi.nlm.nih.gov/Taxonomy/Browser/wwwtax.cgi?mode=Info&amp;id=9696&amp;lvl=3&amp;lin=f&amp;keep=1&amp;srchmode=1&amp;unlock","Puma concolor")</f>
        <v>Puma concolor</v>
      </c>
      <c r="G11" t="s">
        <v>91</v>
      </c>
      <c r="H11" t="str">
        <f>HYPERLINK("http://www.ncbi.nlm.nih.gov/protein/XP_025788676.1","signal transducer and activator of transcription 1-alpha/beta isoform X1")</f>
        <v>signal transducer and activator of transcription 1-alpha/beta isoform X1</v>
      </c>
      <c r="I11" t="s">
        <v>268</v>
      </c>
      <c r="J11" t="s">
        <v>69</v>
      </c>
      <c r="K11">
        <v>628</v>
      </c>
      <c r="L11" t="s">
        <v>151</v>
      </c>
      <c r="M11" t="s">
        <v>69</v>
      </c>
      <c r="N11" t="s">
        <v>152</v>
      </c>
      <c r="O11" t="s">
        <v>69</v>
      </c>
      <c r="P11">
        <v>165.19200000000001</v>
      </c>
      <c r="Q11" t="s">
        <v>69</v>
      </c>
      <c r="R11" t="s">
        <v>69</v>
      </c>
      <c r="S11">
        <v>629</v>
      </c>
      <c r="T11" t="s">
        <v>157</v>
      </c>
      <c r="U11" t="s">
        <v>69</v>
      </c>
      <c r="V11" t="s">
        <v>75</v>
      </c>
      <c r="W11" t="s">
        <v>69</v>
      </c>
      <c r="X11">
        <v>155.15600000000001</v>
      </c>
      <c r="Y11" t="s">
        <v>69</v>
      </c>
      <c r="Z11" t="s">
        <v>69</v>
      </c>
      <c r="AA11">
        <v>630</v>
      </c>
      <c r="AB11" t="s">
        <v>73</v>
      </c>
      <c r="AC11" t="s">
        <v>69</v>
      </c>
      <c r="AD11" t="s">
        <v>71</v>
      </c>
      <c r="AE11" t="s">
        <v>69</v>
      </c>
      <c r="AF11">
        <v>89.093999999999994</v>
      </c>
      <c r="AG11" t="s">
        <v>69</v>
      </c>
      <c r="AH11" t="s">
        <v>69</v>
      </c>
      <c r="AI11">
        <v>631</v>
      </c>
      <c r="AJ11" t="s">
        <v>115</v>
      </c>
      <c r="AK11" t="s">
        <v>69</v>
      </c>
      <c r="AL11" t="s">
        <v>71</v>
      </c>
      <c r="AM11" t="s">
        <v>69</v>
      </c>
      <c r="AN11">
        <v>117.148</v>
      </c>
      <c r="AO11" t="s">
        <v>69</v>
      </c>
      <c r="AP11" t="s">
        <v>69</v>
      </c>
      <c r="AQ11">
        <v>632</v>
      </c>
      <c r="AR11" t="s">
        <v>119</v>
      </c>
      <c r="AS11" t="s">
        <v>69</v>
      </c>
      <c r="AT11" t="s">
        <v>120</v>
      </c>
      <c r="AU11" t="s">
        <v>69</v>
      </c>
      <c r="AV11">
        <v>147.131</v>
      </c>
      <c r="AW11" t="s">
        <v>69</v>
      </c>
      <c r="AX11" t="s">
        <v>69</v>
      </c>
      <c r="AY11">
        <v>651</v>
      </c>
      <c r="AZ11" t="s">
        <v>69</v>
      </c>
      <c r="BA11" t="s">
        <v>69</v>
      </c>
      <c r="BB11" t="s">
        <v>152</v>
      </c>
      <c r="BC11" t="s">
        <v>69</v>
      </c>
      <c r="BD11">
        <v>181.191</v>
      </c>
      <c r="BE11" t="s">
        <v>69</v>
      </c>
      <c r="BF11" t="s">
        <v>69</v>
      </c>
      <c r="BG11">
        <v>652</v>
      </c>
      <c r="BH11" t="s">
        <v>76</v>
      </c>
      <c r="BI11" t="s">
        <v>69</v>
      </c>
      <c r="BJ11" t="s">
        <v>75</v>
      </c>
      <c r="BK11" t="s">
        <v>69</v>
      </c>
      <c r="BL11">
        <v>146.18899999999999</v>
      </c>
      <c r="BM11" t="s">
        <v>69</v>
      </c>
      <c r="BN11" t="s">
        <v>69</v>
      </c>
    </row>
    <row r="12" spans="1:66" x14ac:dyDescent="0.25">
      <c r="A12">
        <v>7</v>
      </c>
      <c r="B12" t="str">
        <f>HYPERLINK("http://www.ncbi.nlm.nih.gov/protein/XP_046940110.1","XP_046940110.1")</f>
        <v>XP_046940110.1</v>
      </c>
      <c r="C12">
        <v>38764</v>
      </c>
      <c r="D12" t="str">
        <f>HYPERLINK("http://www.ncbi.nlm.nih.gov/Taxonomy/Browser/wwwtax.cgi?mode=Info&amp;id=61384&amp;lvl=3&amp;lin=f&amp;keep=1&amp;srchmode=1&amp;unlock","61384")</f>
        <v>61384</v>
      </c>
      <c r="E12" t="s">
        <v>66</v>
      </c>
      <c r="F12" t="str">
        <f>HYPERLINK("http://www.ncbi.nlm.nih.gov/Taxonomy/Browser/wwwtax.cgi?mode=Info&amp;id=61384&amp;lvl=3&amp;lin=f&amp;keep=1&amp;srchmode=1&amp;unlock","Lynx rufus")</f>
        <v>Lynx rufus</v>
      </c>
      <c r="G12" t="s">
        <v>93</v>
      </c>
      <c r="H12" t="str">
        <f>HYPERLINK("http://www.ncbi.nlm.nih.gov/protein/XP_046940110.1","signal transducer and activator of transcription 1-alpha/beta")</f>
        <v>signal transducer and activator of transcription 1-alpha/beta</v>
      </c>
      <c r="I12" t="s">
        <v>268</v>
      </c>
      <c r="J12" t="s">
        <v>69</v>
      </c>
      <c r="K12">
        <v>628</v>
      </c>
      <c r="L12" t="s">
        <v>151</v>
      </c>
      <c r="M12" t="s">
        <v>69</v>
      </c>
      <c r="N12" t="s">
        <v>152</v>
      </c>
      <c r="O12" t="s">
        <v>69</v>
      </c>
      <c r="P12">
        <v>165.19200000000001</v>
      </c>
      <c r="Q12" t="s">
        <v>69</v>
      </c>
      <c r="R12" t="s">
        <v>69</v>
      </c>
      <c r="S12">
        <v>629</v>
      </c>
      <c r="T12" t="s">
        <v>157</v>
      </c>
      <c r="U12" t="s">
        <v>69</v>
      </c>
      <c r="V12" t="s">
        <v>75</v>
      </c>
      <c r="W12" t="s">
        <v>69</v>
      </c>
      <c r="X12">
        <v>155.15600000000001</v>
      </c>
      <c r="Y12" t="s">
        <v>69</v>
      </c>
      <c r="Z12" t="s">
        <v>69</v>
      </c>
      <c r="AA12">
        <v>630</v>
      </c>
      <c r="AB12" t="s">
        <v>73</v>
      </c>
      <c r="AC12" t="s">
        <v>69</v>
      </c>
      <c r="AD12" t="s">
        <v>71</v>
      </c>
      <c r="AE12" t="s">
        <v>69</v>
      </c>
      <c r="AF12">
        <v>89.093999999999994</v>
      </c>
      <c r="AG12" t="s">
        <v>69</v>
      </c>
      <c r="AH12" t="s">
        <v>69</v>
      </c>
      <c r="AI12">
        <v>631</v>
      </c>
      <c r="AJ12" t="s">
        <v>115</v>
      </c>
      <c r="AK12" t="s">
        <v>69</v>
      </c>
      <c r="AL12" t="s">
        <v>71</v>
      </c>
      <c r="AM12" t="s">
        <v>69</v>
      </c>
      <c r="AN12">
        <v>117.148</v>
      </c>
      <c r="AO12" t="s">
        <v>69</v>
      </c>
      <c r="AP12" t="s">
        <v>69</v>
      </c>
      <c r="AQ12">
        <v>632</v>
      </c>
      <c r="AR12" t="s">
        <v>119</v>
      </c>
      <c r="AS12" t="s">
        <v>69</v>
      </c>
      <c r="AT12" t="s">
        <v>120</v>
      </c>
      <c r="AU12" t="s">
        <v>69</v>
      </c>
      <c r="AV12">
        <v>147.131</v>
      </c>
      <c r="AW12" t="s">
        <v>69</v>
      </c>
      <c r="AX12" t="s">
        <v>69</v>
      </c>
      <c r="AY12">
        <v>651</v>
      </c>
      <c r="AZ12" t="s">
        <v>69</v>
      </c>
      <c r="BA12" t="s">
        <v>69</v>
      </c>
      <c r="BB12" t="s">
        <v>152</v>
      </c>
      <c r="BC12" t="s">
        <v>69</v>
      </c>
      <c r="BD12">
        <v>181.191</v>
      </c>
      <c r="BE12" t="s">
        <v>69</v>
      </c>
      <c r="BF12" t="s">
        <v>69</v>
      </c>
      <c r="BG12">
        <v>652</v>
      </c>
      <c r="BH12" t="s">
        <v>76</v>
      </c>
      <c r="BI12" t="s">
        <v>69</v>
      </c>
      <c r="BJ12" t="s">
        <v>75</v>
      </c>
      <c r="BK12" t="s">
        <v>69</v>
      </c>
      <c r="BL12">
        <v>146.18899999999999</v>
      </c>
      <c r="BM12" t="s">
        <v>69</v>
      </c>
      <c r="BN12" t="s">
        <v>69</v>
      </c>
    </row>
    <row r="13" spans="1:66" x14ac:dyDescent="0.25">
      <c r="A13">
        <v>7</v>
      </c>
      <c r="B13" t="str">
        <f>HYPERLINK("http://www.ncbi.nlm.nih.gov/protein/XP_030181868.1","XP_030181868.1")</f>
        <v>XP_030181868.1</v>
      </c>
      <c r="C13">
        <v>42175</v>
      </c>
      <c r="D13" t="str">
        <f>HYPERLINK("http://www.ncbi.nlm.nih.gov/Taxonomy/Browser/wwwtax.cgi?mode=Info&amp;id=61383&amp;lvl=3&amp;lin=f&amp;keep=1&amp;srchmode=1&amp;unlock","61383")</f>
        <v>61383</v>
      </c>
      <c r="E13" t="s">
        <v>66</v>
      </c>
      <c r="F13" t="str">
        <f>HYPERLINK("http://www.ncbi.nlm.nih.gov/Taxonomy/Browser/wwwtax.cgi?mode=Info&amp;id=61383&amp;lvl=3&amp;lin=f&amp;keep=1&amp;srchmode=1&amp;unlock","Lynx canadensis")</f>
        <v>Lynx canadensis</v>
      </c>
      <c r="G13" t="s">
        <v>105</v>
      </c>
      <c r="H13" t="str">
        <f>HYPERLINK("http://www.ncbi.nlm.nih.gov/protein/XP_030181868.1","signal transducer and activator of transcription 1-alpha/beta")</f>
        <v>signal transducer and activator of transcription 1-alpha/beta</v>
      </c>
      <c r="I13" t="s">
        <v>268</v>
      </c>
      <c r="J13" t="s">
        <v>69</v>
      </c>
      <c r="K13">
        <v>628</v>
      </c>
      <c r="L13" t="s">
        <v>151</v>
      </c>
      <c r="M13" t="s">
        <v>69</v>
      </c>
      <c r="N13" t="s">
        <v>152</v>
      </c>
      <c r="O13" t="s">
        <v>69</v>
      </c>
      <c r="P13">
        <v>165.19200000000001</v>
      </c>
      <c r="Q13" t="s">
        <v>69</v>
      </c>
      <c r="R13" t="s">
        <v>69</v>
      </c>
      <c r="S13">
        <v>629</v>
      </c>
      <c r="T13" t="s">
        <v>157</v>
      </c>
      <c r="U13" t="s">
        <v>69</v>
      </c>
      <c r="V13" t="s">
        <v>75</v>
      </c>
      <c r="W13" t="s">
        <v>69</v>
      </c>
      <c r="X13">
        <v>155.15600000000001</v>
      </c>
      <c r="Y13" t="s">
        <v>69</v>
      </c>
      <c r="Z13" t="s">
        <v>69</v>
      </c>
      <c r="AA13">
        <v>630</v>
      </c>
      <c r="AB13" t="s">
        <v>73</v>
      </c>
      <c r="AC13" t="s">
        <v>69</v>
      </c>
      <c r="AD13" t="s">
        <v>71</v>
      </c>
      <c r="AE13" t="s">
        <v>69</v>
      </c>
      <c r="AF13">
        <v>89.093999999999994</v>
      </c>
      <c r="AG13" t="s">
        <v>69</v>
      </c>
      <c r="AH13" t="s">
        <v>69</v>
      </c>
      <c r="AI13">
        <v>631</v>
      </c>
      <c r="AJ13" t="s">
        <v>115</v>
      </c>
      <c r="AK13" t="s">
        <v>69</v>
      </c>
      <c r="AL13" t="s">
        <v>71</v>
      </c>
      <c r="AM13" t="s">
        <v>69</v>
      </c>
      <c r="AN13">
        <v>117.148</v>
      </c>
      <c r="AO13" t="s">
        <v>69</v>
      </c>
      <c r="AP13" t="s">
        <v>69</v>
      </c>
      <c r="AQ13">
        <v>632</v>
      </c>
      <c r="AR13" t="s">
        <v>119</v>
      </c>
      <c r="AS13" t="s">
        <v>69</v>
      </c>
      <c r="AT13" t="s">
        <v>120</v>
      </c>
      <c r="AU13" t="s">
        <v>69</v>
      </c>
      <c r="AV13">
        <v>147.131</v>
      </c>
      <c r="AW13" t="s">
        <v>69</v>
      </c>
      <c r="AX13" t="s">
        <v>69</v>
      </c>
      <c r="AY13">
        <v>651</v>
      </c>
      <c r="AZ13" t="s">
        <v>69</v>
      </c>
      <c r="BA13" t="s">
        <v>69</v>
      </c>
      <c r="BB13" t="s">
        <v>152</v>
      </c>
      <c r="BC13" t="s">
        <v>69</v>
      </c>
      <c r="BD13">
        <v>181.191</v>
      </c>
      <c r="BE13" t="s">
        <v>69</v>
      </c>
      <c r="BF13" t="s">
        <v>69</v>
      </c>
      <c r="BG13">
        <v>652</v>
      </c>
      <c r="BH13" t="s">
        <v>76</v>
      </c>
      <c r="BI13" t="s">
        <v>69</v>
      </c>
      <c r="BJ13" t="s">
        <v>75</v>
      </c>
      <c r="BK13" t="s">
        <v>69</v>
      </c>
      <c r="BL13">
        <v>146.18899999999999</v>
      </c>
      <c r="BM13" t="s">
        <v>69</v>
      </c>
      <c r="BN13" t="s">
        <v>69</v>
      </c>
    </row>
    <row r="14" spans="1:66" x14ac:dyDescent="0.25">
      <c r="A14">
        <v>7</v>
      </c>
      <c r="B14" t="str">
        <f>HYPERLINK("http://www.ncbi.nlm.nih.gov/protein/XP_047728482.1","XP_047728482.1")</f>
        <v>XP_047728482.1</v>
      </c>
      <c r="C14">
        <v>56399</v>
      </c>
      <c r="D14" t="str">
        <f>HYPERLINK("http://www.ncbi.nlm.nih.gov/Taxonomy/Browser/wwwtax.cgi?mode=Info&amp;id=61388&amp;lvl=3&amp;lin=f&amp;keep=1&amp;srchmode=1&amp;unlock","61388")</f>
        <v>61388</v>
      </c>
      <c r="E14" t="s">
        <v>66</v>
      </c>
      <c r="F14" t="str">
        <f>HYPERLINK("http://www.ncbi.nlm.nih.gov/Taxonomy/Browser/wwwtax.cgi?mode=Info&amp;id=61388&amp;lvl=3&amp;lin=f&amp;keep=1&amp;srchmode=1&amp;unlock","Prionailurus viverrinus")</f>
        <v>Prionailurus viverrinus</v>
      </c>
      <c r="G14" t="s">
        <v>94</v>
      </c>
      <c r="H14" t="str">
        <f>HYPERLINK("http://www.ncbi.nlm.nih.gov/protein/XP_047728482.1","signal transducer and activator of transcription 1-alpha/beta isoform X1")</f>
        <v>signal transducer and activator of transcription 1-alpha/beta isoform X1</v>
      </c>
      <c r="I14" t="s">
        <v>268</v>
      </c>
      <c r="J14" t="s">
        <v>69</v>
      </c>
      <c r="K14">
        <v>628</v>
      </c>
      <c r="L14" t="s">
        <v>151</v>
      </c>
      <c r="M14" t="s">
        <v>69</v>
      </c>
      <c r="N14" t="s">
        <v>152</v>
      </c>
      <c r="O14" t="s">
        <v>69</v>
      </c>
      <c r="P14">
        <v>165.19200000000001</v>
      </c>
      <c r="Q14" t="s">
        <v>69</v>
      </c>
      <c r="R14" t="s">
        <v>69</v>
      </c>
      <c r="S14">
        <v>629</v>
      </c>
      <c r="T14" t="s">
        <v>157</v>
      </c>
      <c r="U14" t="s">
        <v>69</v>
      </c>
      <c r="V14" t="s">
        <v>75</v>
      </c>
      <c r="W14" t="s">
        <v>69</v>
      </c>
      <c r="X14">
        <v>155.15600000000001</v>
      </c>
      <c r="Y14" t="s">
        <v>69</v>
      </c>
      <c r="Z14" t="s">
        <v>69</v>
      </c>
      <c r="AA14">
        <v>630</v>
      </c>
      <c r="AB14" t="s">
        <v>73</v>
      </c>
      <c r="AC14" t="s">
        <v>69</v>
      </c>
      <c r="AD14" t="s">
        <v>71</v>
      </c>
      <c r="AE14" t="s">
        <v>69</v>
      </c>
      <c r="AF14">
        <v>89.093999999999994</v>
      </c>
      <c r="AG14" t="s">
        <v>69</v>
      </c>
      <c r="AH14" t="s">
        <v>69</v>
      </c>
      <c r="AI14">
        <v>631</v>
      </c>
      <c r="AJ14" t="s">
        <v>115</v>
      </c>
      <c r="AK14" t="s">
        <v>69</v>
      </c>
      <c r="AL14" t="s">
        <v>71</v>
      </c>
      <c r="AM14" t="s">
        <v>69</v>
      </c>
      <c r="AN14">
        <v>117.148</v>
      </c>
      <c r="AO14" t="s">
        <v>69</v>
      </c>
      <c r="AP14" t="s">
        <v>69</v>
      </c>
      <c r="AQ14">
        <v>632</v>
      </c>
      <c r="AR14" t="s">
        <v>119</v>
      </c>
      <c r="AS14" t="s">
        <v>69</v>
      </c>
      <c r="AT14" t="s">
        <v>120</v>
      </c>
      <c r="AU14" t="s">
        <v>69</v>
      </c>
      <c r="AV14">
        <v>147.131</v>
      </c>
      <c r="AW14" t="s">
        <v>69</v>
      </c>
      <c r="AX14" t="s">
        <v>69</v>
      </c>
      <c r="AY14">
        <v>651</v>
      </c>
      <c r="AZ14" t="s">
        <v>69</v>
      </c>
      <c r="BA14" t="s">
        <v>69</v>
      </c>
      <c r="BB14" t="s">
        <v>152</v>
      </c>
      <c r="BC14" t="s">
        <v>69</v>
      </c>
      <c r="BD14">
        <v>181.191</v>
      </c>
      <c r="BE14" t="s">
        <v>69</v>
      </c>
      <c r="BF14" t="s">
        <v>69</v>
      </c>
      <c r="BG14">
        <v>652</v>
      </c>
      <c r="BH14" t="s">
        <v>76</v>
      </c>
      <c r="BI14" t="s">
        <v>69</v>
      </c>
      <c r="BJ14" t="s">
        <v>75</v>
      </c>
      <c r="BK14" t="s">
        <v>69</v>
      </c>
      <c r="BL14">
        <v>146.18899999999999</v>
      </c>
      <c r="BM14" t="s">
        <v>69</v>
      </c>
      <c r="BN14" t="s">
        <v>69</v>
      </c>
    </row>
    <row r="15" spans="1:66" x14ac:dyDescent="0.25">
      <c r="A15">
        <v>7</v>
      </c>
      <c r="B15" t="str">
        <f>HYPERLINK("http://www.ncbi.nlm.nih.gov/protein/XP_017520763.1","XP_017520763.1")</f>
        <v>XP_017520763.1</v>
      </c>
      <c r="C15">
        <v>56064</v>
      </c>
      <c r="D15" t="str">
        <f>HYPERLINK("http://www.ncbi.nlm.nih.gov/Taxonomy/Browser/wwwtax.cgi?mode=Info&amp;id=9974&amp;lvl=3&amp;lin=f&amp;keep=1&amp;srchmode=1&amp;unlock","9974")</f>
        <v>9974</v>
      </c>
      <c r="E15" t="s">
        <v>66</v>
      </c>
      <c r="F15" t="str">
        <f>HYPERLINK("http://www.ncbi.nlm.nih.gov/Taxonomy/Browser/wwwtax.cgi?mode=Info&amp;id=9974&amp;lvl=3&amp;lin=f&amp;keep=1&amp;srchmode=1&amp;unlock","Manis javanica")</f>
        <v>Manis javanica</v>
      </c>
      <c r="G15" t="s">
        <v>100</v>
      </c>
      <c r="H15" t="str">
        <f>HYPERLINK("http://www.ncbi.nlm.nih.gov/protein/XP_017520763.1","signal transducer and activator of transcription 1-alpha/beta isoform X1")</f>
        <v>signal transducer and activator of transcription 1-alpha/beta isoform X1</v>
      </c>
      <c r="I15" t="s">
        <v>268</v>
      </c>
      <c r="J15" t="s">
        <v>69</v>
      </c>
      <c r="K15">
        <v>628</v>
      </c>
      <c r="L15" t="s">
        <v>151</v>
      </c>
      <c r="M15" t="s">
        <v>69</v>
      </c>
      <c r="N15" t="s">
        <v>152</v>
      </c>
      <c r="O15" t="s">
        <v>69</v>
      </c>
      <c r="P15">
        <v>165.19200000000001</v>
      </c>
      <c r="Q15" t="s">
        <v>69</v>
      </c>
      <c r="R15" t="s">
        <v>69</v>
      </c>
      <c r="S15">
        <v>629</v>
      </c>
      <c r="T15" t="s">
        <v>157</v>
      </c>
      <c r="U15" t="s">
        <v>69</v>
      </c>
      <c r="V15" t="s">
        <v>75</v>
      </c>
      <c r="W15" t="s">
        <v>69</v>
      </c>
      <c r="X15">
        <v>155.15600000000001</v>
      </c>
      <c r="Y15" t="s">
        <v>69</v>
      </c>
      <c r="Z15" t="s">
        <v>69</v>
      </c>
      <c r="AA15">
        <v>630</v>
      </c>
      <c r="AB15" t="s">
        <v>73</v>
      </c>
      <c r="AC15" t="s">
        <v>69</v>
      </c>
      <c r="AD15" t="s">
        <v>71</v>
      </c>
      <c r="AE15" t="s">
        <v>69</v>
      </c>
      <c r="AF15">
        <v>89.093999999999994</v>
      </c>
      <c r="AG15" t="s">
        <v>69</v>
      </c>
      <c r="AH15" t="s">
        <v>69</v>
      </c>
      <c r="AI15">
        <v>631</v>
      </c>
      <c r="AJ15" t="s">
        <v>115</v>
      </c>
      <c r="AK15" t="s">
        <v>69</v>
      </c>
      <c r="AL15" t="s">
        <v>71</v>
      </c>
      <c r="AM15" t="s">
        <v>69</v>
      </c>
      <c r="AN15">
        <v>117.148</v>
      </c>
      <c r="AO15" t="s">
        <v>69</v>
      </c>
      <c r="AP15" t="s">
        <v>69</v>
      </c>
      <c r="AQ15">
        <v>632</v>
      </c>
      <c r="AR15" t="s">
        <v>119</v>
      </c>
      <c r="AS15" t="s">
        <v>69</v>
      </c>
      <c r="AT15" t="s">
        <v>120</v>
      </c>
      <c r="AU15" t="s">
        <v>69</v>
      </c>
      <c r="AV15">
        <v>147.131</v>
      </c>
      <c r="AW15" t="s">
        <v>69</v>
      </c>
      <c r="AX15" t="s">
        <v>69</v>
      </c>
      <c r="AY15">
        <v>651</v>
      </c>
      <c r="AZ15" t="s">
        <v>69</v>
      </c>
      <c r="BA15" t="s">
        <v>69</v>
      </c>
      <c r="BB15" t="s">
        <v>152</v>
      </c>
      <c r="BC15" t="s">
        <v>69</v>
      </c>
      <c r="BD15">
        <v>181.191</v>
      </c>
      <c r="BE15" t="s">
        <v>69</v>
      </c>
      <c r="BF15" t="s">
        <v>69</v>
      </c>
      <c r="BG15">
        <v>652</v>
      </c>
      <c r="BH15" t="s">
        <v>76</v>
      </c>
      <c r="BI15" t="s">
        <v>69</v>
      </c>
      <c r="BJ15" t="s">
        <v>75</v>
      </c>
      <c r="BK15" t="s">
        <v>69</v>
      </c>
      <c r="BL15">
        <v>146.18899999999999</v>
      </c>
      <c r="BM15" t="s">
        <v>69</v>
      </c>
      <c r="BN15" t="s">
        <v>69</v>
      </c>
    </row>
    <row r="16" spans="1:66" x14ac:dyDescent="0.25">
      <c r="A16">
        <v>7</v>
      </c>
      <c r="B16" t="str">
        <f>HYPERLINK("http://www.ncbi.nlm.nih.gov/protein/XP_006147877.2","XP_006147877.2")</f>
        <v>XP_006147877.2</v>
      </c>
      <c r="C16">
        <v>59507</v>
      </c>
      <c r="D16" t="str">
        <f>HYPERLINK("http://www.ncbi.nlm.nih.gov/Taxonomy/Browser/wwwtax.cgi?mode=Info&amp;id=246437&amp;lvl=3&amp;lin=f&amp;keep=1&amp;srchmode=1&amp;unlock","246437")</f>
        <v>246437</v>
      </c>
      <c r="E16" t="s">
        <v>66</v>
      </c>
      <c r="F16" t="str">
        <f>HYPERLINK("http://www.ncbi.nlm.nih.gov/Taxonomy/Browser/wwwtax.cgi?mode=Info&amp;id=246437&amp;lvl=3&amp;lin=f&amp;keep=1&amp;srchmode=1&amp;unlock","Tupaia chinensis")</f>
        <v>Tupaia chinensis</v>
      </c>
      <c r="G16" t="s">
        <v>97</v>
      </c>
      <c r="H16" t="str">
        <f>HYPERLINK("http://www.ncbi.nlm.nih.gov/protein/XP_006147877.2","signal transducer and activator of transcription 1-alpha/beta")</f>
        <v>signal transducer and activator of transcription 1-alpha/beta</v>
      </c>
      <c r="I16" t="s">
        <v>268</v>
      </c>
      <c r="J16" t="s">
        <v>69</v>
      </c>
      <c r="K16">
        <v>628</v>
      </c>
      <c r="L16" t="s">
        <v>151</v>
      </c>
      <c r="M16" t="s">
        <v>69</v>
      </c>
      <c r="N16" t="s">
        <v>152</v>
      </c>
      <c r="O16" t="s">
        <v>69</v>
      </c>
      <c r="P16">
        <v>165.19200000000001</v>
      </c>
      <c r="Q16" t="s">
        <v>69</v>
      </c>
      <c r="R16" t="s">
        <v>69</v>
      </c>
      <c r="S16">
        <v>629</v>
      </c>
      <c r="T16" t="s">
        <v>157</v>
      </c>
      <c r="U16" t="s">
        <v>69</v>
      </c>
      <c r="V16" t="s">
        <v>75</v>
      </c>
      <c r="W16" t="s">
        <v>69</v>
      </c>
      <c r="X16">
        <v>155.15600000000001</v>
      </c>
      <c r="Y16" t="s">
        <v>69</v>
      </c>
      <c r="Z16" t="s">
        <v>69</v>
      </c>
      <c r="AA16">
        <v>630</v>
      </c>
      <c r="AB16" t="s">
        <v>73</v>
      </c>
      <c r="AC16" t="s">
        <v>69</v>
      </c>
      <c r="AD16" t="s">
        <v>71</v>
      </c>
      <c r="AE16" t="s">
        <v>69</v>
      </c>
      <c r="AF16">
        <v>89.093999999999994</v>
      </c>
      <c r="AG16" t="s">
        <v>69</v>
      </c>
      <c r="AH16" t="s">
        <v>69</v>
      </c>
      <c r="AI16">
        <v>631</v>
      </c>
      <c r="AJ16" t="s">
        <v>115</v>
      </c>
      <c r="AK16" t="s">
        <v>69</v>
      </c>
      <c r="AL16" t="s">
        <v>71</v>
      </c>
      <c r="AM16" t="s">
        <v>69</v>
      </c>
      <c r="AN16">
        <v>117.148</v>
      </c>
      <c r="AO16" t="s">
        <v>69</v>
      </c>
      <c r="AP16" t="s">
        <v>69</v>
      </c>
      <c r="AQ16">
        <v>632</v>
      </c>
      <c r="AR16" t="s">
        <v>119</v>
      </c>
      <c r="AS16" t="s">
        <v>69</v>
      </c>
      <c r="AT16" t="s">
        <v>120</v>
      </c>
      <c r="AU16" t="s">
        <v>69</v>
      </c>
      <c r="AV16">
        <v>147.131</v>
      </c>
      <c r="AW16" t="s">
        <v>69</v>
      </c>
      <c r="AX16" t="s">
        <v>69</v>
      </c>
      <c r="AY16">
        <v>651</v>
      </c>
      <c r="AZ16" t="s">
        <v>69</v>
      </c>
      <c r="BA16" t="s">
        <v>69</v>
      </c>
      <c r="BB16" t="s">
        <v>152</v>
      </c>
      <c r="BC16" t="s">
        <v>69</v>
      </c>
      <c r="BD16">
        <v>181.191</v>
      </c>
      <c r="BE16" t="s">
        <v>69</v>
      </c>
      <c r="BF16" t="s">
        <v>69</v>
      </c>
      <c r="BG16">
        <v>652</v>
      </c>
      <c r="BH16" t="s">
        <v>76</v>
      </c>
      <c r="BI16" t="s">
        <v>69</v>
      </c>
      <c r="BJ16" t="s">
        <v>75</v>
      </c>
      <c r="BK16" t="s">
        <v>69</v>
      </c>
      <c r="BL16">
        <v>146.18899999999999</v>
      </c>
      <c r="BM16" t="s">
        <v>69</v>
      </c>
      <c r="BN16" t="s">
        <v>69</v>
      </c>
    </row>
    <row r="17" spans="1:66" x14ac:dyDescent="0.25">
      <c r="A17">
        <v>7</v>
      </c>
      <c r="B17" t="str">
        <f>HYPERLINK("http://www.ncbi.nlm.nih.gov/protein/XP_044097119.1","XP_044097119.1")</f>
        <v>XP_044097119.1</v>
      </c>
      <c r="C17">
        <v>44640</v>
      </c>
      <c r="D17" t="str">
        <f>HYPERLINK("http://www.ncbi.nlm.nih.gov/Taxonomy/Browser/wwwtax.cgi?mode=Info&amp;id=452646&amp;lvl=3&amp;lin=f&amp;keep=1&amp;srchmode=1&amp;unlock","452646")</f>
        <v>452646</v>
      </c>
      <c r="E17" t="s">
        <v>66</v>
      </c>
      <c r="F17" t="str">
        <f>HYPERLINK("http://www.ncbi.nlm.nih.gov/Taxonomy/Browser/wwwtax.cgi?mode=Info&amp;id=452646&amp;lvl=3&amp;lin=f&amp;keep=1&amp;srchmode=1&amp;unlock","Neogale vison")</f>
        <v>Neogale vison</v>
      </c>
      <c r="G17" t="s">
        <v>96</v>
      </c>
      <c r="H17" t="str">
        <f>HYPERLINK("http://www.ncbi.nlm.nih.gov/protein/XP_044097119.1","signal transducer and activator of transcription 1-alpha/beta")</f>
        <v>signal transducer and activator of transcription 1-alpha/beta</v>
      </c>
      <c r="I17" t="s">
        <v>268</v>
      </c>
      <c r="J17" t="s">
        <v>69</v>
      </c>
      <c r="K17">
        <v>628</v>
      </c>
      <c r="L17" t="s">
        <v>151</v>
      </c>
      <c r="M17" t="s">
        <v>69</v>
      </c>
      <c r="N17" t="s">
        <v>152</v>
      </c>
      <c r="O17" t="s">
        <v>69</v>
      </c>
      <c r="P17">
        <v>165.19200000000001</v>
      </c>
      <c r="Q17" t="s">
        <v>69</v>
      </c>
      <c r="R17" t="s">
        <v>69</v>
      </c>
      <c r="S17">
        <v>629</v>
      </c>
      <c r="T17" t="s">
        <v>157</v>
      </c>
      <c r="U17" t="s">
        <v>69</v>
      </c>
      <c r="V17" t="s">
        <v>75</v>
      </c>
      <c r="W17" t="s">
        <v>69</v>
      </c>
      <c r="X17">
        <v>155.15600000000001</v>
      </c>
      <c r="Y17" t="s">
        <v>69</v>
      </c>
      <c r="Z17" t="s">
        <v>69</v>
      </c>
      <c r="AA17">
        <v>630</v>
      </c>
      <c r="AB17" t="s">
        <v>73</v>
      </c>
      <c r="AC17" t="s">
        <v>69</v>
      </c>
      <c r="AD17" t="s">
        <v>71</v>
      </c>
      <c r="AE17" t="s">
        <v>69</v>
      </c>
      <c r="AF17">
        <v>89.093999999999994</v>
      </c>
      <c r="AG17" t="s">
        <v>69</v>
      </c>
      <c r="AH17" t="s">
        <v>69</v>
      </c>
      <c r="AI17">
        <v>631</v>
      </c>
      <c r="AJ17" t="s">
        <v>115</v>
      </c>
      <c r="AK17" t="s">
        <v>69</v>
      </c>
      <c r="AL17" t="s">
        <v>71</v>
      </c>
      <c r="AM17" t="s">
        <v>69</v>
      </c>
      <c r="AN17">
        <v>117.148</v>
      </c>
      <c r="AO17" t="s">
        <v>69</v>
      </c>
      <c r="AP17" t="s">
        <v>69</v>
      </c>
      <c r="AQ17">
        <v>632</v>
      </c>
      <c r="AR17" t="s">
        <v>119</v>
      </c>
      <c r="AS17" t="s">
        <v>69</v>
      </c>
      <c r="AT17" t="s">
        <v>120</v>
      </c>
      <c r="AU17" t="s">
        <v>69</v>
      </c>
      <c r="AV17">
        <v>147.131</v>
      </c>
      <c r="AW17" t="s">
        <v>69</v>
      </c>
      <c r="AX17" t="s">
        <v>69</v>
      </c>
      <c r="AY17">
        <v>651</v>
      </c>
      <c r="AZ17" t="s">
        <v>69</v>
      </c>
      <c r="BA17" t="s">
        <v>69</v>
      </c>
      <c r="BB17" t="s">
        <v>152</v>
      </c>
      <c r="BC17" t="s">
        <v>69</v>
      </c>
      <c r="BD17">
        <v>181.191</v>
      </c>
      <c r="BE17" t="s">
        <v>69</v>
      </c>
      <c r="BF17" t="s">
        <v>69</v>
      </c>
      <c r="BG17">
        <v>652</v>
      </c>
      <c r="BH17" t="s">
        <v>76</v>
      </c>
      <c r="BI17" t="s">
        <v>69</v>
      </c>
      <c r="BJ17" t="s">
        <v>75</v>
      </c>
      <c r="BK17" t="s">
        <v>69</v>
      </c>
      <c r="BL17">
        <v>146.18899999999999</v>
      </c>
      <c r="BM17" t="s">
        <v>69</v>
      </c>
      <c r="BN17" t="s">
        <v>69</v>
      </c>
    </row>
    <row r="18" spans="1:66" x14ac:dyDescent="0.25">
      <c r="A18">
        <v>7</v>
      </c>
      <c r="B18" t="str">
        <f>HYPERLINK("http://www.ncbi.nlm.nih.gov/protein/XP_012917317.1","XP_012917317.1")</f>
        <v>XP_012917317.1</v>
      </c>
      <c r="C18">
        <v>58003</v>
      </c>
      <c r="D18" t="str">
        <f>HYPERLINK("http://www.ncbi.nlm.nih.gov/Taxonomy/Browser/wwwtax.cgi?mode=Info&amp;id=9669&amp;lvl=3&amp;lin=f&amp;keep=1&amp;srchmode=1&amp;unlock","9669")</f>
        <v>9669</v>
      </c>
      <c r="E18" t="s">
        <v>66</v>
      </c>
      <c r="F18" t="str">
        <f>HYPERLINK("http://www.ncbi.nlm.nih.gov/Taxonomy/Browser/wwwtax.cgi?mode=Info&amp;id=9669&amp;lvl=3&amp;lin=f&amp;keep=1&amp;srchmode=1&amp;unlock","Mustela putorius furo")</f>
        <v>Mustela putorius furo</v>
      </c>
      <c r="G18" t="s">
        <v>98</v>
      </c>
      <c r="H18" t="str">
        <f>HYPERLINK("http://www.ncbi.nlm.nih.gov/protein/XP_012917317.1","signal transducer and activator of transcription 1-alpha/beta")</f>
        <v>signal transducer and activator of transcription 1-alpha/beta</v>
      </c>
      <c r="I18" t="s">
        <v>268</v>
      </c>
      <c r="J18" t="s">
        <v>69</v>
      </c>
      <c r="K18">
        <v>628</v>
      </c>
      <c r="L18" t="s">
        <v>151</v>
      </c>
      <c r="M18" t="s">
        <v>69</v>
      </c>
      <c r="N18" t="s">
        <v>152</v>
      </c>
      <c r="O18" t="s">
        <v>69</v>
      </c>
      <c r="P18">
        <v>165.19200000000001</v>
      </c>
      <c r="Q18" t="s">
        <v>69</v>
      </c>
      <c r="R18" t="s">
        <v>69</v>
      </c>
      <c r="S18">
        <v>629</v>
      </c>
      <c r="T18" t="s">
        <v>157</v>
      </c>
      <c r="U18" t="s">
        <v>69</v>
      </c>
      <c r="V18" t="s">
        <v>75</v>
      </c>
      <c r="W18" t="s">
        <v>69</v>
      </c>
      <c r="X18">
        <v>155.15600000000001</v>
      </c>
      <c r="Y18" t="s">
        <v>69</v>
      </c>
      <c r="Z18" t="s">
        <v>69</v>
      </c>
      <c r="AA18">
        <v>630</v>
      </c>
      <c r="AB18" t="s">
        <v>73</v>
      </c>
      <c r="AC18" t="s">
        <v>69</v>
      </c>
      <c r="AD18" t="s">
        <v>71</v>
      </c>
      <c r="AE18" t="s">
        <v>69</v>
      </c>
      <c r="AF18">
        <v>89.093999999999994</v>
      </c>
      <c r="AG18" t="s">
        <v>69</v>
      </c>
      <c r="AH18" t="s">
        <v>69</v>
      </c>
      <c r="AI18">
        <v>631</v>
      </c>
      <c r="AJ18" t="s">
        <v>115</v>
      </c>
      <c r="AK18" t="s">
        <v>69</v>
      </c>
      <c r="AL18" t="s">
        <v>71</v>
      </c>
      <c r="AM18" t="s">
        <v>69</v>
      </c>
      <c r="AN18">
        <v>117.148</v>
      </c>
      <c r="AO18" t="s">
        <v>69</v>
      </c>
      <c r="AP18" t="s">
        <v>69</v>
      </c>
      <c r="AQ18">
        <v>632</v>
      </c>
      <c r="AR18" t="s">
        <v>119</v>
      </c>
      <c r="AS18" t="s">
        <v>69</v>
      </c>
      <c r="AT18" t="s">
        <v>120</v>
      </c>
      <c r="AU18" t="s">
        <v>69</v>
      </c>
      <c r="AV18">
        <v>147.131</v>
      </c>
      <c r="AW18" t="s">
        <v>69</v>
      </c>
      <c r="AX18" t="s">
        <v>69</v>
      </c>
      <c r="AY18">
        <v>651</v>
      </c>
      <c r="AZ18" t="s">
        <v>69</v>
      </c>
      <c r="BA18" t="s">
        <v>69</v>
      </c>
      <c r="BB18" t="s">
        <v>152</v>
      </c>
      <c r="BC18" t="s">
        <v>69</v>
      </c>
      <c r="BD18">
        <v>181.191</v>
      </c>
      <c r="BE18" t="s">
        <v>69</v>
      </c>
      <c r="BF18" t="s">
        <v>69</v>
      </c>
      <c r="BG18">
        <v>652</v>
      </c>
      <c r="BH18" t="s">
        <v>76</v>
      </c>
      <c r="BI18" t="s">
        <v>69</v>
      </c>
      <c r="BJ18" t="s">
        <v>75</v>
      </c>
      <c r="BK18" t="s">
        <v>69</v>
      </c>
      <c r="BL18">
        <v>146.18899999999999</v>
      </c>
      <c r="BM18" t="s">
        <v>69</v>
      </c>
      <c r="BN18" t="s">
        <v>69</v>
      </c>
    </row>
    <row r="19" spans="1:66" x14ac:dyDescent="0.25">
      <c r="A19">
        <v>7</v>
      </c>
      <c r="B19" t="str">
        <f>HYPERLINK("http://www.ncbi.nlm.nih.gov/protein/XP_045875270.1","XP_045875270.1")</f>
        <v>XP_045875270.1</v>
      </c>
      <c r="C19">
        <v>50752</v>
      </c>
      <c r="D19" t="str">
        <f>HYPERLINK("http://www.ncbi.nlm.nih.gov/Taxonomy/Browser/wwwtax.cgi?mode=Info&amp;id=9662&amp;lvl=3&amp;lin=f&amp;keep=1&amp;srchmode=1&amp;unlock","9662")</f>
        <v>9662</v>
      </c>
      <c r="E19" t="s">
        <v>66</v>
      </c>
      <c r="F19" t="str">
        <f>HYPERLINK("http://www.ncbi.nlm.nih.gov/Taxonomy/Browser/wwwtax.cgi?mode=Info&amp;id=9662&amp;lvl=3&amp;lin=f&amp;keep=1&amp;srchmode=1&amp;unlock","Meles meles")</f>
        <v>Meles meles</v>
      </c>
      <c r="G19" t="s">
        <v>99</v>
      </c>
      <c r="H19" t="str">
        <f>HYPERLINK("http://www.ncbi.nlm.nih.gov/protein/XP_045875270.1","signal transducer and activator of transcription 1-alpha/beta")</f>
        <v>signal transducer and activator of transcription 1-alpha/beta</v>
      </c>
      <c r="I19" t="s">
        <v>268</v>
      </c>
      <c r="J19" t="s">
        <v>69</v>
      </c>
      <c r="K19">
        <v>628</v>
      </c>
      <c r="L19" t="s">
        <v>151</v>
      </c>
      <c r="M19" t="s">
        <v>69</v>
      </c>
      <c r="N19" t="s">
        <v>152</v>
      </c>
      <c r="O19" t="s">
        <v>69</v>
      </c>
      <c r="P19">
        <v>165.19200000000001</v>
      </c>
      <c r="Q19" t="s">
        <v>69</v>
      </c>
      <c r="R19" t="s">
        <v>69</v>
      </c>
      <c r="S19">
        <v>629</v>
      </c>
      <c r="T19" t="s">
        <v>157</v>
      </c>
      <c r="U19" t="s">
        <v>69</v>
      </c>
      <c r="V19" t="s">
        <v>75</v>
      </c>
      <c r="W19" t="s">
        <v>69</v>
      </c>
      <c r="X19">
        <v>155.15600000000001</v>
      </c>
      <c r="Y19" t="s">
        <v>69</v>
      </c>
      <c r="Z19" t="s">
        <v>69</v>
      </c>
      <c r="AA19">
        <v>630</v>
      </c>
      <c r="AB19" t="s">
        <v>73</v>
      </c>
      <c r="AC19" t="s">
        <v>69</v>
      </c>
      <c r="AD19" t="s">
        <v>71</v>
      </c>
      <c r="AE19" t="s">
        <v>69</v>
      </c>
      <c r="AF19">
        <v>89.093999999999994</v>
      </c>
      <c r="AG19" t="s">
        <v>69</v>
      </c>
      <c r="AH19" t="s">
        <v>69</v>
      </c>
      <c r="AI19">
        <v>631</v>
      </c>
      <c r="AJ19" t="s">
        <v>115</v>
      </c>
      <c r="AK19" t="s">
        <v>69</v>
      </c>
      <c r="AL19" t="s">
        <v>71</v>
      </c>
      <c r="AM19" t="s">
        <v>69</v>
      </c>
      <c r="AN19">
        <v>117.148</v>
      </c>
      <c r="AO19" t="s">
        <v>69</v>
      </c>
      <c r="AP19" t="s">
        <v>69</v>
      </c>
      <c r="AQ19">
        <v>632</v>
      </c>
      <c r="AR19" t="s">
        <v>119</v>
      </c>
      <c r="AS19" t="s">
        <v>69</v>
      </c>
      <c r="AT19" t="s">
        <v>120</v>
      </c>
      <c r="AU19" t="s">
        <v>69</v>
      </c>
      <c r="AV19">
        <v>147.131</v>
      </c>
      <c r="AW19" t="s">
        <v>69</v>
      </c>
      <c r="AX19" t="s">
        <v>69</v>
      </c>
      <c r="AY19">
        <v>651</v>
      </c>
      <c r="AZ19" t="s">
        <v>69</v>
      </c>
      <c r="BA19" t="s">
        <v>69</v>
      </c>
      <c r="BB19" t="s">
        <v>152</v>
      </c>
      <c r="BC19" t="s">
        <v>69</v>
      </c>
      <c r="BD19">
        <v>181.191</v>
      </c>
      <c r="BE19" t="s">
        <v>69</v>
      </c>
      <c r="BF19" t="s">
        <v>69</v>
      </c>
      <c r="BG19">
        <v>652</v>
      </c>
      <c r="BH19" t="s">
        <v>76</v>
      </c>
      <c r="BI19" t="s">
        <v>69</v>
      </c>
      <c r="BJ19" t="s">
        <v>75</v>
      </c>
      <c r="BK19" t="s">
        <v>69</v>
      </c>
      <c r="BL19">
        <v>146.18899999999999</v>
      </c>
      <c r="BM19" t="s">
        <v>69</v>
      </c>
      <c r="BN19" t="s">
        <v>69</v>
      </c>
    </row>
    <row r="20" spans="1:66" x14ac:dyDescent="0.25">
      <c r="A20">
        <v>7</v>
      </c>
      <c r="B20" t="str">
        <f>HYPERLINK("http://www.ncbi.nlm.nih.gov/protein/XP_038303349.1","XP_038303349.1")</f>
        <v>XP_038303349.1</v>
      </c>
      <c r="C20">
        <v>136357</v>
      </c>
      <c r="D20" t="str">
        <f>HYPERLINK("http://www.ncbi.nlm.nih.gov/Taxonomy/Browser/wwwtax.cgi?mode=Info&amp;id=9615&amp;lvl=3&amp;lin=f&amp;keep=1&amp;srchmode=1&amp;unlock","9615")</f>
        <v>9615</v>
      </c>
      <c r="E20" t="s">
        <v>66</v>
      </c>
      <c r="F20" t="str">
        <f>HYPERLINK("http://www.ncbi.nlm.nih.gov/Taxonomy/Browser/wwwtax.cgi?mode=Info&amp;id=9615&amp;lvl=3&amp;lin=f&amp;keep=1&amp;srchmode=1&amp;unlock","Canis lupus familiaris")</f>
        <v>Canis lupus familiaris</v>
      </c>
      <c r="G20" t="s">
        <v>84</v>
      </c>
      <c r="H20" t="str">
        <f>HYPERLINK("http://www.ncbi.nlm.nih.gov/protein/XP_038303349.1","signal transducer and activator of transcription 1-alpha/beta")</f>
        <v>signal transducer and activator of transcription 1-alpha/beta</v>
      </c>
      <c r="I20" t="s">
        <v>268</v>
      </c>
      <c r="J20" t="s">
        <v>69</v>
      </c>
      <c r="K20">
        <v>628</v>
      </c>
      <c r="L20" t="s">
        <v>151</v>
      </c>
      <c r="M20" t="s">
        <v>69</v>
      </c>
      <c r="N20" t="s">
        <v>152</v>
      </c>
      <c r="O20" t="s">
        <v>69</v>
      </c>
      <c r="P20">
        <v>165.19200000000001</v>
      </c>
      <c r="Q20" t="s">
        <v>69</v>
      </c>
      <c r="R20" t="s">
        <v>69</v>
      </c>
      <c r="S20">
        <v>629</v>
      </c>
      <c r="T20" t="s">
        <v>157</v>
      </c>
      <c r="U20" t="s">
        <v>69</v>
      </c>
      <c r="V20" t="s">
        <v>75</v>
      </c>
      <c r="W20" t="s">
        <v>69</v>
      </c>
      <c r="X20">
        <v>155.15600000000001</v>
      </c>
      <c r="Y20" t="s">
        <v>69</v>
      </c>
      <c r="Z20" t="s">
        <v>69</v>
      </c>
      <c r="AA20">
        <v>630</v>
      </c>
      <c r="AB20" t="s">
        <v>73</v>
      </c>
      <c r="AC20" t="s">
        <v>69</v>
      </c>
      <c r="AD20" t="s">
        <v>71</v>
      </c>
      <c r="AE20" t="s">
        <v>69</v>
      </c>
      <c r="AF20">
        <v>89.093999999999994</v>
      </c>
      <c r="AG20" t="s">
        <v>69</v>
      </c>
      <c r="AH20" t="s">
        <v>69</v>
      </c>
      <c r="AI20">
        <v>631</v>
      </c>
      <c r="AJ20" t="s">
        <v>115</v>
      </c>
      <c r="AK20" t="s">
        <v>69</v>
      </c>
      <c r="AL20" t="s">
        <v>71</v>
      </c>
      <c r="AM20" t="s">
        <v>69</v>
      </c>
      <c r="AN20">
        <v>117.148</v>
      </c>
      <c r="AO20" t="s">
        <v>69</v>
      </c>
      <c r="AP20" t="s">
        <v>69</v>
      </c>
      <c r="AQ20">
        <v>632</v>
      </c>
      <c r="AR20" t="s">
        <v>119</v>
      </c>
      <c r="AS20" t="s">
        <v>69</v>
      </c>
      <c r="AT20" t="s">
        <v>120</v>
      </c>
      <c r="AU20" t="s">
        <v>69</v>
      </c>
      <c r="AV20">
        <v>147.131</v>
      </c>
      <c r="AW20" t="s">
        <v>69</v>
      </c>
      <c r="AX20" t="s">
        <v>69</v>
      </c>
      <c r="AY20">
        <v>651</v>
      </c>
      <c r="AZ20" t="s">
        <v>69</v>
      </c>
      <c r="BA20" t="s">
        <v>69</v>
      </c>
      <c r="BB20" t="s">
        <v>152</v>
      </c>
      <c r="BC20" t="s">
        <v>69</v>
      </c>
      <c r="BD20">
        <v>181.191</v>
      </c>
      <c r="BE20" t="s">
        <v>69</v>
      </c>
      <c r="BF20" t="s">
        <v>69</v>
      </c>
      <c r="BG20">
        <v>652</v>
      </c>
      <c r="BH20" t="s">
        <v>76</v>
      </c>
      <c r="BI20" t="s">
        <v>69</v>
      </c>
      <c r="BJ20" t="s">
        <v>75</v>
      </c>
      <c r="BK20" t="s">
        <v>69</v>
      </c>
      <c r="BL20">
        <v>146.18899999999999</v>
      </c>
      <c r="BM20" t="s">
        <v>69</v>
      </c>
      <c r="BN20" t="s">
        <v>69</v>
      </c>
    </row>
    <row r="21" spans="1:66" x14ac:dyDescent="0.25">
      <c r="A21">
        <v>7</v>
      </c>
      <c r="B21" t="str">
        <f>HYPERLINK("http://www.ncbi.nlm.nih.gov/protein/XP_025858432.1","XP_025858432.1")</f>
        <v>XP_025858432.1</v>
      </c>
      <c r="C21">
        <v>38435</v>
      </c>
      <c r="D21" t="str">
        <f>HYPERLINK("http://www.ncbi.nlm.nih.gov/Taxonomy/Browser/wwwtax.cgi?mode=Info&amp;id=9627&amp;lvl=3&amp;lin=f&amp;keep=1&amp;srchmode=1&amp;unlock","9627")</f>
        <v>9627</v>
      </c>
      <c r="E21" t="s">
        <v>66</v>
      </c>
      <c r="F21" t="str">
        <f>HYPERLINK("http://www.ncbi.nlm.nih.gov/Taxonomy/Browser/wwwtax.cgi?mode=Info&amp;id=9627&amp;lvl=3&amp;lin=f&amp;keep=1&amp;srchmode=1&amp;unlock","Vulpes vulpes")</f>
        <v>Vulpes vulpes</v>
      </c>
      <c r="G21" t="s">
        <v>95</v>
      </c>
      <c r="H21" t="str">
        <f>HYPERLINK("http://www.ncbi.nlm.nih.gov/protein/XP_025858432.1","signal transducer and activator of transcription 1-alpha/beta isoform X2")</f>
        <v>signal transducer and activator of transcription 1-alpha/beta isoform X2</v>
      </c>
      <c r="I21" t="s">
        <v>268</v>
      </c>
      <c r="J21" t="s">
        <v>69</v>
      </c>
      <c r="K21">
        <v>628</v>
      </c>
      <c r="L21" t="s">
        <v>151</v>
      </c>
      <c r="M21" t="s">
        <v>69</v>
      </c>
      <c r="N21" t="s">
        <v>152</v>
      </c>
      <c r="O21" t="s">
        <v>69</v>
      </c>
      <c r="P21">
        <v>165.19200000000001</v>
      </c>
      <c r="Q21" t="s">
        <v>69</v>
      </c>
      <c r="R21" t="s">
        <v>69</v>
      </c>
      <c r="S21">
        <v>629</v>
      </c>
      <c r="T21" t="s">
        <v>157</v>
      </c>
      <c r="U21" t="s">
        <v>69</v>
      </c>
      <c r="V21" t="s">
        <v>75</v>
      </c>
      <c r="W21" t="s">
        <v>69</v>
      </c>
      <c r="X21">
        <v>155.15600000000001</v>
      </c>
      <c r="Y21" t="s">
        <v>69</v>
      </c>
      <c r="Z21" t="s">
        <v>69</v>
      </c>
      <c r="AA21">
        <v>630</v>
      </c>
      <c r="AB21" t="s">
        <v>73</v>
      </c>
      <c r="AC21" t="s">
        <v>69</v>
      </c>
      <c r="AD21" t="s">
        <v>71</v>
      </c>
      <c r="AE21" t="s">
        <v>69</v>
      </c>
      <c r="AF21">
        <v>89.093999999999994</v>
      </c>
      <c r="AG21" t="s">
        <v>69</v>
      </c>
      <c r="AH21" t="s">
        <v>69</v>
      </c>
      <c r="AI21">
        <v>631</v>
      </c>
      <c r="AJ21" t="s">
        <v>115</v>
      </c>
      <c r="AK21" t="s">
        <v>69</v>
      </c>
      <c r="AL21" t="s">
        <v>71</v>
      </c>
      <c r="AM21" t="s">
        <v>69</v>
      </c>
      <c r="AN21">
        <v>117.148</v>
      </c>
      <c r="AO21" t="s">
        <v>69</v>
      </c>
      <c r="AP21" t="s">
        <v>69</v>
      </c>
      <c r="AQ21">
        <v>632</v>
      </c>
      <c r="AR21" t="s">
        <v>119</v>
      </c>
      <c r="AS21" t="s">
        <v>69</v>
      </c>
      <c r="AT21" t="s">
        <v>120</v>
      </c>
      <c r="AU21" t="s">
        <v>69</v>
      </c>
      <c r="AV21">
        <v>147.131</v>
      </c>
      <c r="AW21" t="s">
        <v>69</v>
      </c>
      <c r="AX21" t="s">
        <v>69</v>
      </c>
      <c r="AY21">
        <v>651</v>
      </c>
      <c r="AZ21" t="s">
        <v>69</v>
      </c>
      <c r="BA21" t="s">
        <v>69</v>
      </c>
      <c r="BB21" t="s">
        <v>152</v>
      </c>
      <c r="BC21" t="s">
        <v>69</v>
      </c>
      <c r="BD21">
        <v>181.191</v>
      </c>
      <c r="BE21" t="s">
        <v>69</v>
      </c>
      <c r="BF21" t="s">
        <v>69</v>
      </c>
      <c r="BG21">
        <v>652</v>
      </c>
      <c r="BH21" t="s">
        <v>76</v>
      </c>
      <c r="BI21" t="s">
        <v>69</v>
      </c>
      <c r="BJ21" t="s">
        <v>75</v>
      </c>
      <c r="BK21" t="s">
        <v>69</v>
      </c>
      <c r="BL21">
        <v>146.18899999999999</v>
      </c>
      <c r="BM21" t="s">
        <v>69</v>
      </c>
      <c r="BN21" t="s">
        <v>69</v>
      </c>
    </row>
    <row r="22" spans="1:66" x14ac:dyDescent="0.25">
      <c r="A22">
        <v>7</v>
      </c>
      <c r="B22" t="str">
        <f>HYPERLINK("http://www.ncbi.nlm.nih.gov/protein/NP_001310520.1","NP_001310520.1")</f>
        <v>NP_001310520.1</v>
      </c>
      <c r="C22">
        <v>117142</v>
      </c>
      <c r="D22" t="str">
        <f>HYPERLINK("http://www.ncbi.nlm.nih.gov/Taxonomy/Browser/wwwtax.cgi?mode=Info&amp;id=9407&amp;lvl=3&amp;lin=f&amp;keep=1&amp;srchmode=1&amp;unlock","9407")</f>
        <v>9407</v>
      </c>
      <c r="E22" t="s">
        <v>66</v>
      </c>
      <c r="F22" t="str">
        <f>HYPERLINK("http://www.ncbi.nlm.nih.gov/Taxonomy/Browser/wwwtax.cgi?mode=Info&amp;id=9407&amp;lvl=3&amp;lin=f&amp;keep=1&amp;srchmode=1&amp;unlock","Rousettus aegyptiacus")</f>
        <v>Rousettus aegyptiacus</v>
      </c>
      <c r="G22" t="s">
        <v>103</v>
      </c>
      <c r="H22" t="str">
        <f>HYPERLINK("http://www.ncbi.nlm.nih.gov/protein/NP_001310520.1","signal transducer and activator of transcription 1-alpha/beta")</f>
        <v>signal transducer and activator of transcription 1-alpha/beta</v>
      </c>
      <c r="I22" t="s">
        <v>268</v>
      </c>
      <c r="J22" t="s">
        <v>69</v>
      </c>
      <c r="K22">
        <v>628</v>
      </c>
      <c r="L22" t="s">
        <v>151</v>
      </c>
      <c r="M22" t="s">
        <v>69</v>
      </c>
      <c r="N22" t="s">
        <v>152</v>
      </c>
      <c r="O22" t="s">
        <v>69</v>
      </c>
      <c r="P22">
        <v>165.19200000000001</v>
      </c>
      <c r="Q22" t="s">
        <v>69</v>
      </c>
      <c r="R22" t="s">
        <v>69</v>
      </c>
      <c r="S22">
        <v>629</v>
      </c>
      <c r="T22" t="s">
        <v>157</v>
      </c>
      <c r="U22" t="s">
        <v>69</v>
      </c>
      <c r="V22" t="s">
        <v>75</v>
      </c>
      <c r="W22" t="s">
        <v>69</v>
      </c>
      <c r="X22">
        <v>155.15600000000001</v>
      </c>
      <c r="Y22" t="s">
        <v>69</v>
      </c>
      <c r="Z22" t="s">
        <v>69</v>
      </c>
      <c r="AA22">
        <v>630</v>
      </c>
      <c r="AB22" t="s">
        <v>73</v>
      </c>
      <c r="AC22" t="s">
        <v>69</v>
      </c>
      <c r="AD22" t="s">
        <v>71</v>
      </c>
      <c r="AE22" t="s">
        <v>69</v>
      </c>
      <c r="AF22">
        <v>89.093999999999994</v>
      </c>
      <c r="AG22" t="s">
        <v>69</v>
      </c>
      <c r="AH22" t="s">
        <v>69</v>
      </c>
      <c r="AI22">
        <v>631</v>
      </c>
      <c r="AJ22" t="s">
        <v>115</v>
      </c>
      <c r="AK22" t="s">
        <v>69</v>
      </c>
      <c r="AL22" t="s">
        <v>71</v>
      </c>
      <c r="AM22" t="s">
        <v>69</v>
      </c>
      <c r="AN22">
        <v>117.148</v>
      </c>
      <c r="AO22" t="s">
        <v>69</v>
      </c>
      <c r="AP22" t="s">
        <v>69</v>
      </c>
      <c r="AQ22">
        <v>632</v>
      </c>
      <c r="AR22" t="s">
        <v>119</v>
      </c>
      <c r="AS22" t="s">
        <v>69</v>
      </c>
      <c r="AT22" t="s">
        <v>120</v>
      </c>
      <c r="AU22" t="s">
        <v>69</v>
      </c>
      <c r="AV22">
        <v>147.131</v>
      </c>
      <c r="AW22" t="s">
        <v>69</v>
      </c>
      <c r="AX22" t="s">
        <v>69</v>
      </c>
      <c r="AY22">
        <v>651</v>
      </c>
      <c r="AZ22" t="s">
        <v>69</v>
      </c>
      <c r="BA22" t="s">
        <v>69</v>
      </c>
      <c r="BB22" t="s">
        <v>152</v>
      </c>
      <c r="BC22" t="s">
        <v>69</v>
      </c>
      <c r="BD22">
        <v>181.191</v>
      </c>
      <c r="BE22" t="s">
        <v>69</v>
      </c>
      <c r="BF22" t="s">
        <v>69</v>
      </c>
      <c r="BG22">
        <v>652</v>
      </c>
      <c r="BH22" t="s">
        <v>76</v>
      </c>
      <c r="BI22" t="s">
        <v>69</v>
      </c>
      <c r="BJ22" t="s">
        <v>75</v>
      </c>
      <c r="BK22" t="s">
        <v>69</v>
      </c>
      <c r="BL22">
        <v>146.18899999999999</v>
      </c>
      <c r="BM22" t="s">
        <v>69</v>
      </c>
      <c r="BN22" t="s">
        <v>69</v>
      </c>
    </row>
    <row r="23" spans="1:66" x14ac:dyDescent="0.25">
      <c r="A23">
        <v>7</v>
      </c>
      <c r="B23" t="str">
        <f>HYPERLINK("http://www.ncbi.nlm.nih.gov/protein/XP_020930318.1","XP_020930318.1")</f>
        <v>XP_020930318.1</v>
      </c>
      <c r="C23">
        <v>86952</v>
      </c>
      <c r="D23" t="str">
        <f>HYPERLINK("http://www.ncbi.nlm.nih.gov/Taxonomy/Browser/wwwtax.cgi?mode=Info&amp;id=9823&amp;lvl=3&amp;lin=f&amp;keep=1&amp;srchmode=1&amp;unlock","9823")</f>
        <v>9823</v>
      </c>
      <c r="E23" t="s">
        <v>66</v>
      </c>
      <c r="F23" t="str">
        <f>HYPERLINK("http://www.ncbi.nlm.nih.gov/Taxonomy/Browser/wwwtax.cgi?mode=Info&amp;id=9823&amp;lvl=3&amp;lin=f&amp;keep=1&amp;srchmode=1&amp;unlock","Sus scrofa")</f>
        <v>Sus scrofa</v>
      </c>
      <c r="G23" t="s">
        <v>85</v>
      </c>
      <c r="H23" t="str">
        <f>HYPERLINK("http://www.ncbi.nlm.nih.gov/protein/XP_020930318.1","signal transducer and activator of transcription 1 isoform X3")</f>
        <v>signal transducer and activator of transcription 1 isoform X3</v>
      </c>
      <c r="I23" t="s">
        <v>268</v>
      </c>
      <c r="J23" t="s">
        <v>69</v>
      </c>
      <c r="K23">
        <v>628</v>
      </c>
      <c r="L23" t="s">
        <v>151</v>
      </c>
      <c r="M23" t="s">
        <v>69</v>
      </c>
      <c r="N23" t="s">
        <v>152</v>
      </c>
      <c r="O23" t="s">
        <v>69</v>
      </c>
      <c r="P23">
        <v>165.19200000000001</v>
      </c>
      <c r="Q23" t="s">
        <v>69</v>
      </c>
      <c r="R23" t="s">
        <v>69</v>
      </c>
      <c r="S23">
        <v>629</v>
      </c>
      <c r="T23" t="s">
        <v>157</v>
      </c>
      <c r="U23" t="s">
        <v>69</v>
      </c>
      <c r="V23" t="s">
        <v>75</v>
      </c>
      <c r="W23" t="s">
        <v>69</v>
      </c>
      <c r="X23">
        <v>155.15600000000001</v>
      </c>
      <c r="Y23" t="s">
        <v>69</v>
      </c>
      <c r="Z23" t="s">
        <v>69</v>
      </c>
      <c r="AA23">
        <v>630</v>
      </c>
      <c r="AB23" t="s">
        <v>73</v>
      </c>
      <c r="AC23" t="s">
        <v>69</v>
      </c>
      <c r="AD23" t="s">
        <v>71</v>
      </c>
      <c r="AE23" t="s">
        <v>69</v>
      </c>
      <c r="AF23">
        <v>89.093999999999994</v>
      </c>
      <c r="AG23" t="s">
        <v>69</v>
      </c>
      <c r="AH23" t="s">
        <v>69</v>
      </c>
      <c r="AI23">
        <v>631</v>
      </c>
      <c r="AJ23" t="s">
        <v>115</v>
      </c>
      <c r="AK23" t="s">
        <v>69</v>
      </c>
      <c r="AL23" t="s">
        <v>71</v>
      </c>
      <c r="AM23" t="s">
        <v>69</v>
      </c>
      <c r="AN23">
        <v>117.148</v>
      </c>
      <c r="AO23" t="s">
        <v>69</v>
      </c>
      <c r="AP23" t="s">
        <v>69</v>
      </c>
      <c r="AQ23">
        <v>632</v>
      </c>
      <c r="AR23" t="s">
        <v>119</v>
      </c>
      <c r="AS23" t="s">
        <v>69</v>
      </c>
      <c r="AT23" t="s">
        <v>120</v>
      </c>
      <c r="AU23" t="s">
        <v>69</v>
      </c>
      <c r="AV23">
        <v>147.131</v>
      </c>
      <c r="AW23" t="s">
        <v>69</v>
      </c>
      <c r="AX23" t="s">
        <v>69</v>
      </c>
      <c r="AY23">
        <v>651</v>
      </c>
      <c r="AZ23" t="s">
        <v>69</v>
      </c>
      <c r="BA23" t="s">
        <v>69</v>
      </c>
      <c r="BB23" t="s">
        <v>152</v>
      </c>
      <c r="BC23" t="s">
        <v>69</v>
      </c>
      <c r="BD23">
        <v>181.191</v>
      </c>
      <c r="BE23" t="s">
        <v>69</v>
      </c>
      <c r="BF23" t="s">
        <v>69</v>
      </c>
      <c r="BG23">
        <v>652</v>
      </c>
      <c r="BH23" t="s">
        <v>76</v>
      </c>
      <c r="BI23" t="s">
        <v>69</v>
      </c>
      <c r="BJ23" t="s">
        <v>75</v>
      </c>
      <c r="BK23" t="s">
        <v>69</v>
      </c>
      <c r="BL23">
        <v>146.18899999999999</v>
      </c>
      <c r="BM23" t="s">
        <v>69</v>
      </c>
      <c r="BN23" t="s">
        <v>69</v>
      </c>
    </row>
    <row r="24" spans="1:66" x14ac:dyDescent="0.25">
      <c r="A24">
        <v>7</v>
      </c>
      <c r="B24" t="str">
        <f>HYPERLINK("http://www.ncbi.nlm.nih.gov/protein/XP_047399592.1","XP_047399592.1")</f>
        <v>XP_047399592.1</v>
      </c>
      <c r="C24">
        <v>74939</v>
      </c>
      <c r="D24" t="str">
        <f>HYPERLINK("http://www.ncbi.nlm.nih.gov/Taxonomy/Browser/wwwtax.cgi?mode=Info&amp;id=30640&amp;lvl=3&amp;lin=f&amp;keep=1&amp;srchmode=1&amp;unlock","30640")</f>
        <v>30640</v>
      </c>
      <c r="E24" t="s">
        <v>66</v>
      </c>
      <c r="F24" t="str">
        <f>HYPERLINK("http://www.ncbi.nlm.nih.gov/Taxonomy/Browser/wwwtax.cgi?mode=Info&amp;id=30640&amp;lvl=3&amp;lin=f&amp;keep=1&amp;srchmode=1&amp;unlock","Neosciurus carolinensis")</f>
        <v>Neosciurus carolinensis</v>
      </c>
      <c r="G24" t="s">
        <v>101</v>
      </c>
      <c r="H24" t="str">
        <f>HYPERLINK("http://www.ncbi.nlm.nih.gov/protein/XP_047399592.1","signal transducer and activator of transcription 1-alpha/beta")</f>
        <v>signal transducer and activator of transcription 1-alpha/beta</v>
      </c>
      <c r="I24" t="s">
        <v>268</v>
      </c>
      <c r="J24" t="s">
        <v>69</v>
      </c>
      <c r="K24">
        <v>628</v>
      </c>
      <c r="L24" t="s">
        <v>151</v>
      </c>
      <c r="M24" t="s">
        <v>69</v>
      </c>
      <c r="N24" t="s">
        <v>152</v>
      </c>
      <c r="O24" t="s">
        <v>69</v>
      </c>
      <c r="P24">
        <v>165.19200000000001</v>
      </c>
      <c r="Q24" t="s">
        <v>69</v>
      </c>
      <c r="R24" t="s">
        <v>69</v>
      </c>
      <c r="S24">
        <v>629</v>
      </c>
      <c r="T24" t="s">
        <v>157</v>
      </c>
      <c r="U24" t="s">
        <v>69</v>
      </c>
      <c r="V24" t="s">
        <v>75</v>
      </c>
      <c r="W24" t="s">
        <v>69</v>
      </c>
      <c r="X24">
        <v>155.15600000000001</v>
      </c>
      <c r="Y24" t="s">
        <v>69</v>
      </c>
      <c r="Z24" t="s">
        <v>69</v>
      </c>
      <c r="AA24">
        <v>630</v>
      </c>
      <c r="AB24" t="s">
        <v>73</v>
      </c>
      <c r="AC24" t="s">
        <v>69</v>
      </c>
      <c r="AD24" t="s">
        <v>71</v>
      </c>
      <c r="AE24" t="s">
        <v>69</v>
      </c>
      <c r="AF24">
        <v>89.093999999999994</v>
      </c>
      <c r="AG24" t="s">
        <v>69</v>
      </c>
      <c r="AH24" t="s">
        <v>69</v>
      </c>
      <c r="AI24">
        <v>631</v>
      </c>
      <c r="AJ24" t="s">
        <v>115</v>
      </c>
      <c r="AK24" t="s">
        <v>69</v>
      </c>
      <c r="AL24" t="s">
        <v>71</v>
      </c>
      <c r="AM24" t="s">
        <v>69</v>
      </c>
      <c r="AN24">
        <v>117.148</v>
      </c>
      <c r="AO24" t="s">
        <v>69</v>
      </c>
      <c r="AP24" t="s">
        <v>69</v>
      </c>
      <c r="AQ24">
        <v>632</v>
      </c>
      <c r="AR24" t="s">
        <v>119</v>
      </c>
      <c r="AS24" t="s">
        <v>69</v>
      </c>
      <c r="AT24" t="s">
        <v>120</v>
      </c>
      <c r="AU24" t="s">
        <v>69</v>
      </c>
      <c r="AV24">
        <v>147.131</v>
      </c>
      <c r="AW24" t="s">
        <v>69</v>
      </c>
      <c r="AX24" t="s">
        <v>69</v>
      </c>
      <c r="AY24">
        <v>651</v>
      </c>
      <c r="AZ24" t="s">
        <v>69</v>
      </c>
      <c r="BA24" t="s">
        <v>69</v>
      </c>
      <c r="BB24" t="s">
        <v>152</v>
      </c>
      <c r="BC24" t="s">
        <v>69</v>
      </c>
      <c r="BD24">
        <v>181.191</v>
      </c>
      <c r="BE24" t="s">
        <v>69</v>
      </c>
      <c r="BF24" t="s">
        <v>69</v>
      </c>
      <c r="BG24">
        <v>652</v>
      </c>
      <c r="BH24" t="s">
        <v>76</v>
      </c>
      <c r="BI24" t="s">
        <v>69</v>
      </c>
      <c r="BJ24" t="s">
        <v>75</v>
      </c>
      <c r="BK24" t="s">
        <v>69</v>
      </c>
      <c r="BL24">
        <v>146.18899999999999</v>
      </c>
      <c r="BM24" t="s">
        <v>69</v>
      </c>
      <c r="BN24" t="s">
        <v>69</v>
      </c>
    </row>
    <row r="25" spans="1:66" x14ac:dyDescent="0.25">
      <c r="A25">
        <v>7</v>
      </c>
      <c r="B25" t="str">
        <f>HYPERLINK("http://www.ncbi.nlm.nih.gov/protein/XP_005202627.2","XP_005202627.2")</f>
        <v>XP_005202627.2</v>
      </c>
      <c r="C25">
        <v>136186</v>
      </c>
      <c r="D25" t="str">
        <f>HYPERLINK("http://www.ncbi.nlm.nih.gov/Taxonomy/Browser/wwwtax.cgi?mode=Info&amp;id=9913&amp;lvl=3&amp;lin=f&amp;keep=1&amp;srchmode=1&amp;unlock","9913")</f>
        <v>9913</v>
      </c>
      <c r="E25" t="s">
        <v>66</v>
      </c>
      <c r="F25" t="str">
        <f>HYPERLINK("http://www.ncbi.nlm.nih.gov/Taxonomy/Browser/wwwtax.cgi?mode=Info&amp;id=9913&amp;lvl=3&amp;lin=f&amp;keep=1&amp;srchmode=1&amp;unlock","Bos taurus")</f>
        <v>Bos taurus</v>
      </c>
      <c r="G25" t="s">
        <v>82</v>
      </c>
      <c r="H25" t="str">
        <f>HYPERLINK("http://www.ncbi.nlm.nih.gov/protein/XP_005202627.2","signal transducer and activator of transcription 1-alpha/beta isoform X1")</f>
        <v>signal transducer and activator of transcription 1-alpha/beta isoform X1</v>
      </c>
      <c r="I25" t="s">
        <v>268</v>
      </c>
      <c r="J25" t="s">
        <v>69</v>
      </c>
      <c r="K25">
        <v>628</v>
      </c>
      <c r="L25" t="s">
        <v>151</v>
      </c>
      <c r="M25" t="s">
        <v>69</v>
      </c>
      <c r="N25" t="s">
        <v>152</v>
      </c>
      <c r="O25" t="s">
        <v>69</v>
      </c>
      <c r="P25">
        <v>165.19200000000001</v>
      </c>
      <c r="Q25" t="s">
        <v>69</v>
      </c>
      <c r="R25" t="s">
        <v>69</v>
      </c>
      <c r="S25">
        <v>629</v>
      </c>
      <c r="T25" t="s">
        <v>157</v>
      </c>
      <c r="U25" t="s">
        <v>69</v>
      </c>
      <c r="V25" t="s">
        <v>75</v>
      </c>
      <c r="W25" t="s">
        <v>69</v>
      </c>
      <c r="X25">
        <v>155.15600000000001</v>
      </c>
      <c r="Y25" t="s">
        <v>69</v>
      </c>
      <c r="Z25" t="s">
        <v>69</v>
      </c>
      <c r="AA25">
        <v>630</v>
      </c>
      <c r="AB25" t="s">
        <v>73</v>
      </c>
      <c r="AC25" t="s">
        <v>69</v>
      </c>
      <c r="AD25" t="s">
        <v>71</v>
      </c>
      <c r="AE25" t="s">
        <v>69</v>
      </c>
      <c r="AF25">
        <v>89.093999999999994</v>
      </c>
      <c r="AG25" t="s">
        <v>69</v>
      </c>
      <c r="AH25" t="s">
        <v>69</v>
      </c>
      <c r="AI25">
        <v>631</v>
      </c>
      <c r="AJ25" t="s">
        <v>115</v>
      </c>
      <c r="AK25" t="s">
        <v>69</v>
      </c>
      <c r="AL25" t="s">
        <v>71</v>
      </c>
      <c r="AM25" t="s">
        <v>69</v>
      </c>
      <c r="AN25">
        <v>117.148</v>
      </c>
      <c r="AO25" t="s">
        <v>69</v>
      </c>
      <c r="AP25" t="s">
        <v>69</v>
      </c>
      <c r="AQ25">
        <v>632</v>
      </c>
      <c r="AR25" t="s">
        <v>119</v>
      </c>
      <c r="AS25" t="s">
        <v>69</v>
      </c>
      <c r="AT25" t="s">
        <v>120</v>
      </c>
      <c r="AU25" t="s">
        <v>69</v>
      </c>
      <c r="AV25">
        <v>147.131</v>
      </c>
      <c r="AW25" t="s">
        <v>69</v>
      </c>
      <c r="AX25" t="s">
        <v>69</v>
      </c>
      <c r="AY25">
        <v>651</v>
      </c>
      <c r="AZ25" t="s">
        <v>69</v>
      </c>
      <c r="BA25" t="s">
        <v>69</v>
      </c>
      <c r="BB25" t="s">
        <v>152</v>
      </c>
      <c r="BC25" t="s">
        <v>69</v>
      </c>
      <c r="BD25">
        <v>181.191</v>
      </c>
      <c r="BE25" t="s">
        <v>69</v>
      </c>
      <c r="BF25" t="s">
        <v>69</v>
      </c>
      <c r="BG25">
        <v>652</v>
      </c>
      <c r="BH25" t="s">
        <v>76</v>
      </c>
      <c r="BI25" t="s">
        <v>69</v>
      </c>
      <c r="BJ25" t="s">
        <v>75</v>
      </c>
      <c r="BK25" t="s">
        <v>69</v>
      </c>
      <c r="BL25">
        <v>146.18899999999999</v>
      </c>
      <c r="BM25" t="s">
        <v>69</v>
      </c>
      <c r="BN25" t="s">
        <v>69</v>
      </c>
    </row>
    <row r="26" spans="1:66" x14ac:dyDescent="0.25">
      <c r="A26">
        <v>7</v>
      </c>
      <c r="B26" t="str">
        <f>HYPERLINK("http://www.ncbi.nlm.nih.gov/protein/XP_020757168.1","XP_020757168.1")</f>
        <v>XP_020757168.1</v>
      </c>
      <c r="C26">
        <v>48218</v>
      </c>
      <c r="D26" t="str">
        <f>HYPERLINK("http://www.ncbi.nlm.nih.gov/Taxonomy/Browser/wwwtax.cgi?mode=Info&amp;id=9880&amp;lvl=3&amp;lin=f&amp;keep=1&amp;srchmode=1&amp;unlock","9880")</f>
        <v>9880</v>
      </c>
      <c r="E26" t="s">
        <v>66</v>
      </c>
      <c r="F26" t="str">
        <f>HYPERLINK("http://www.ncbi.nlm.nih.gov/Taxonomy/Browser/wwwtax.cgi?mode=Info&amp;id=9880&amp;lvl=3&amp;lin=f&amp;keep=1&amp;srchmode=1&amp;unlock","Odocoileus virginianus texanus")</f>
        <v>Odocoileus virginianus texanus</v>
      </c>
      <c r="G26" t="s">
        <v>81</v>
      </c>
      <c r="H26" t="str">
        <f>HYPERLINK("http://www.ncbi.nlm.nih.gov/protein/XP_020757168.1","signal transducer and activator of transcription 1-alpha/beta")</f>
        <v>signal transducer and activator of transcription 1-alpha/beta</v>
      </c>
      <c r="I26" t="s">
        <v>268</v>
      </c>
      <c r="J26" t="s">
        <v>69</v>
      </c>
      <c r="K26">
        <v>628</v>
      </c>
      <c r="L26" t="s">
        <v>151</v>
      </c>
      <c r="M26" t="s">
        <v>69</v>
      </c>
      <c r="N26" t="s">
        <v>152</v>
      </c>
      <c r="O26" t="s">
        <v>69</v>
      </c>
      <c r="P26">
        <v>165.19200000000001</v>
      </c>
      <c r="Q26" t="s">
        <v>69</v>
      </c>
      <c r="R26" t="s">
        <v>69</v>
      </c>
      <c r="S26">
        <v>629</v>
      </c>
      <c r="T26" t="s">
        <v>157</v>
      </c>
      <c r="U26" t="s">
        <v>69</v>
      </c>
      <c r="V26" t="s">
        <v>75</v>
      </c>
      <c r="W26" t="s">
        <v>69</v>
      </c>
      <c r="X26">
        <v>155.15600000000001</v>
      </c>
      <c r="Y26" t="s">
        <v>69</v>
      </c>
      <c r="Z26" t="s">
        <v>69</v>
      </c>
      <c r="AA26">
        <v>630</v>
      </c>
      <c r="AB26" t="s">
        <v>73</v>
      </c>
      <c r="AC26" t="s">
        <v>69</v>
      </c>
      <c r="AD26" t="s">
        <v>71</v>
      </c>
      <c r="AE26" t="s">
        <v>69</v>
      </c>
      <c r="AF26">
        <v>89.093999999999994</v>
      </c>
      <c r="AG26" t="s">
        <v>69</v>
      </c>
      <c r="AH26" t="s">
        <v>69</v>
      </c>
      <c r="AI26">
        <v>631</v>
      </c>
      <c r="AJ26" t="s">
        <v>115</v>
      </c>
      <c r="AK26" t="s">
        <v>69</v>
      </c>
      <c r="AL26" t="s">
        <v>71</v>
      </c>
      <c r="AM26" t="s">
        <v>69</v>
      </c>
      <c r="AN26">
        <v>117.148</v>
      </c>
      <c r="AO26" t="s">
        <v>69</v>
      </c>
      <c r="AP26" t="s">
        <v>69</v>
      </c>
      <c r="AQ26">
        <v>632</v>
      </c>
      <c r="AR26" t="s">
        <v>119</v>
      </c>
      <c r="AS26" t="s">
        <v>69</v>
      </c>
      <c r="AT26" t="s">
        <v>120</v>
      </c>
      <c r="AU26" t="s">
        <v>69</v>
      </c>
      <c r="AV26">
        <v>147.131</v>
      </c>
      <c r="AW26" t="s">
        <v>69</v>
      </c>
      <c r="AX26" t="s">
        <v>69</v>
      </c>
      <c r="AY26">
        <v>651</v>
      </c>
      <c r="AZ26" t="s">
        <v>69</v>
      </c>
      <c r="BA26" t="s">
        <v>69</v>
      </c>
      <c r="BB26" t="s">
        <v>152</v>
      </c>
      <c r="BC26" t="s">
        <v>69</v>
      </c>
      <c r="BD26">
        <v>181.191</v>
      </c>
      <c r="BE26" t="s">
        <v>69</v>
      </c>
      <c r="BF26" t="s">
        <v>69</v>
      </c>
      <c r="BG26">
        <v>652</v>
      </c>
      <c r="BH26" t="s">
        <v>76</v>
      </c>
      <c r="BI26" t="s">
        <v>69</v>
      </c>
      <c r="BJ26" t="s">
        <v>75</v>
      </c>
      <c r="BK26" t="s">
        <v>69</v>
      </c>
      <c r="BL26">
        <v>146.18899999999999</v>
      </c>
      <c r="BM26" t="s">
        <v>69</v>
      </c>
      <c r="BN26" t="s">
        <v>69</v>
      </c>
    </row>
    <row r="27" spans="1:66" x14ac:dyDescent="0.25">
      <c r="A27">
        <v>7</v>
      </c>
      <c r="B27" t="str">
        <f>HYPERLINK("http://www.ncbi.nlm.nih.gov/protein/XP_012979413.1","XP_012979413.1")</f>
        <v>XP_012979413.1</v>
      </c>
      <c r="C27">
        <v>54410</v>
      </c>
      <c r="D27" t="str">
        <f>HYPERLINK("http://www.ncbi.nlm.nih.gov/Taxonomy/Browser/wwwtax.cgi?mode=Info&amp;id=10036&amp;lvl=3&amp;lin=f&amp;keep=1&amp;srchmode=1&amp;unlock","10036")</f>
        <v>10036</v>
      </c>
      <c r="E27" t="s">
        <v>66</v>
      </c>
      <c r="F27" t="str">
        <f>HYPERLINK("http://www.ncbi.nlm.nih.gov/Taxonomy/Browser/wwwtax.cgi?mode=Info&amp;id=10036&amp;lvl=3&amp;lin=f&amp;keep=1&amp;srchmode=1&amp;unlock","Mesocricetus auratus")</f>
        <v>Mesocricetus auratus</v>
      </c>
      <c r="G27" t="s">
        <v>87</v>
      </c>
      <c r="H27" t="str">
        <f>HYPERLINK("http://www.ncbi.nlm.nih.gov/protein/XP_012979413.1","signal transducer and activator of transcription 1-alpha/beta isoform X1")</f>
        <v>signal transducer and activator of transcription 1-alpha/beta isoform X1</v>
      </c>
      <c r="I27" t="s">
        <v>268</v>
      </c>
      <c r="J27" t="s">
        <v>69</v>
      </c>
      <c r="K27">
        <v>628</v>
      </c>
      <c r="L27" t="s">
        <v>151</v>
      </c>
      <c r="M27" t="s">
        <v>69</v>
      </c>
      <c r="N27" t="s">
        <v>152</v>
      </c>
      <c r="O27" t="s">
        <v>69</v>
      </c>
      <c r="P27">
        <v>165.19200000000001</v>
      </c>
      <c r="Q27" t="s">
        <v>69</v>
      </c>
      <c r="R27" t="s">
        <v>69</v>
      </c>
      <c r="S27">
        <v>629</v>
      </c>
      <c r="T27" t="s">
        <v>157</v>
      </c>
      <c r="U27" t="s">
        <v>69</v>
      </c>
      <c r="V27" t="s">
        <v>75</v>
      </c>
      <c r="W27" t="s">
        <v>69</v>
      </c>
      <c r="X27">
        <v>155.15600000000001</v>
      </c>
      <c r="Y27" t="s">
        <v>69</v>
      </c>
      <c r="Z27" t="s">
        <v>69</v>
      </c>
      <c r="AA27">
        <v>630</v>
      </c>
      <c r="AB27" t="s">
        <v>73</v>
      </c>
      <c r="AC27" t="s">
        <v>69</v>
      </c>
      <c r="AD27" t="s">
        <v>71</v>
      </c>
      <c r="AE27" t="s">
        <v>69</v>
      </c>
      <c r="AF27">
        <v>89.093999999999994</v>
      </c>
      <c r="AG27" t="s">
        <v>69</v>
      </c>
      <c r="AH27" t="s">
        <v>69</v>
      </c>
      <c r="AI27">
        <v>631</v>
      </c>
      <c r="AJ27" t="s">
        <v>115</v>
      </c>
      <c r="AK27" t="s">
        <v>69</v>
      </c>
      <c r="AL27" t="s">
        <v>71</v>
      </c>
      <c r="AM27" t="s">
        <v>69</v>
      </c>
      <c r="AN27">
        <v>117.148</v>
      </c>
      <c r="AO27" t="s">
        <v>69</v>
      </c>
      <c r="AP27" t="s">
        <v>69</v>
      </c>
      <c r="AQ27">
        <v>632</v>
      </c>
      <c r="AR27" t="s">
        <v>119</v>
      </c>
      <c r="AS27" t="s">
        <v>69</v>
      </c>
      <c r="AT27" t="s">
        <v>120</v>
      </c>
      <c r="AU27" t="s">
        <v>69</v>
      </c>
      <c r="AV27">
        <v>147.131</v>
      </c>
      <c r="AW27" t="s">
        <v>69</v>
      </c>
      <c r="AX27" t="s">
        <v>69</v>
      </c>
      <c r="AY27">
        <v>651</v>
      </c>
      <c r="AZ27" t="s">
        <v>69</v>
      </c>
      <c r="BA27" t="s">
        <v>69</v>
      </c>
      <c r="BB27" t="s">
        <v>152</v>
      </c>
      <c r="BC27" t="s">
        <v>69</v>
      </c>
      <c r="BD27">
        <v>181.191</v>
      </c>
      <c r="BE27" t="s">
        <v>69</v>
      </c>
      <c r="BF27" t="s">
        <v>69</v>
      </c>
      <c r="BG27">
        <v>652</v>
      </c>
      <c r="BH27" t="s">
        <v>76</v>
      </c>
      <c r="BI27" t="s">
        <v>69</v>
      </c>
      <c r="BJ27" t="s">
        <v>75</v>
      </c>
      <c r="BK27" t="s">
        <v>69</v>
      </c>
      <c r="BL27">
        <v>146.18899999999999</v>
      </c>
      <c r="BM27" t="s">
        <v>69</v>
      </c>
      <c r="BN27" t="s">
        <v>69</v>
      </c>
    </row>
    <row r="28" spans="1:66" x14ac:dyDescent="0.25">
      <c r="A28">
        <v>7</v>
      </c>
      <c r="B28" t="str">
        <f>HYPERLINK("http://www.ncbi.nlm.nih.gov/protein/NP_116001.2","NP_116001.2")</f>
        <v>NP_116001.2</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HYPERLINK("http://www.ncbi.nlm.nih.gov/protein/NP_116001.2","signal transducer and activator of transcription 1-alpha/beta isoform alpha")</f>
        <v>signal transducer and activator of transcription 1-alpha/beta isoform alpha</v>
      </c>
      <c r="I28" t="s">
        <v>268</v>
      </c>
      <c r="J28" t="s">
        <v>69</v>
      </c>
      <c r="K28">
        <v>628</v>
      </c>
      <c r="L28" t="s">
        <v>151</v>
      </c>
      <c r="M28" t="s">
        <v>69</v>
      </c>
      <c r="N28" t="s">
        <v>152</v>
      </c>
      <c r="O28" t="s">
        <v>69</v>
      </c>
      <c r="P28">
        <v>165.19200000000001</v>
      </c>
      <c r="Q28" t="s">
        <v>69</v>
      </c>
      <c r="R28" t="s">
        <v>69</v>
      </c>
      <c r="S28">
        <v>629</v>
      </c>
      <c r="T28" t="s">
        <v>157</v>
      </c>
      <c r="U28" t="s">
        <v>69</v>
      </c>
      <c r="V28" t="s">
        <v>75</v>
      </c>
      <c r="W28" t="s">
        <v>69</v>
      </c>
      <c r="X28">
        <v>155.15600000000001</v>
      </c>
      <c r="Y28" t="s">
        <v>69</v>
      </c>
      <c r="Z28" t="s">
        <v>69</v>
      </c>
      <c r="AA28">
        <v>630</v>
      </c>
      <c r="AB28" t="s">
        <v>73</v>
      </c>
      <c r="AC28" t="s">
        <v>69</v>
      </c>
      <c r="AD28" t="s">
        <v>71</v>
      </c>
      <c r="AE28" t="s">
        <v>69</v>
      </c>
      <c r="AF28">
        <v>89.093999999999994</v>
      </c>
      <c r="AG28" t="s">
        <v>69</v>
      </c>
      <c r="AH28" t="s">
        <v>69</v>
      </c>
      <c r="AI28">
        <v>631</v>
      </c>
      <c r="AJ28" t="s">
        <v>115</v>
      </c>
      <c r="AK28" t="s">
        <v>69</v>
      </c>
      <c r="AL28" t="s">
        <v>71</v>
      </c>
      <c r="AM28" t="s">
        <v>69</v>
      </c>
      <c r="AN28">
        <v>117.148</v>
      </c>
      <c r="AO28" t="s">
        <v>69</v>
      </c>
      <c r="AP28" t="s">
        <v>69</v>
      </c>
      <c r="AQ28">
        <v>632</v>
      </c>
      <c r="AR28" t="s">
        <v>119</v>
      </c>
      <c r="AS28" t="s">
        <v>69</v>
      </c>
      <c r="AT28" t="s">
        <v>120</v>
      </c>
      <c r="AU28" t="s">
        <v>69</v>
      </c>
      <c r="AV28">
        <v>147.131</v>
      </c>
      <c r="AW28" t="s">
        <v>69</v>
      </c>
      <c r="AX28" t="s">
        <v>69</v>
      </c>
      <c r="AY28">
        <v>651</v>
      </c>
      <c r="AZ28" t="s">
        <v>69</v>
      </c>
      <c r="BA28" t="s">
        <v>69</v>
      </c>
      <c r="BB28" t="s">
        <v>152</v>
      </c>
      <c r="BC28" t="s">
        <v>69</v>
      </c>
      <c r="BD28">
        <v>181.191</v>
      </c>
      <c r="BE28" t="s">
        <v>69</v>
      </c>
      <c r="BF28" t="s">
        <v>69</v>
      </c>
      <c r="BG28">
        <v>652</v>
      </c>
      <c r="BH28" t="s">
        <v>76</v>
      </c>
      <c r="BI28" t="s">
        <v>69</v>
      </c>
      <c r="BJ28" t="s">
        <v>75</v>
      </c>
      <c r="BK28" t="s">
        <v>69</v>
      </c>
      <c r="BL28">
        <v>146.18899999999999</v>
      </c>
      <c r="BM28" t="s">
        <v>69</v>
      </c>
      <c r="BN28" t="s">
        <v>69</v>
      </c>
    </row>
    <row r="29" spans="1:66" x14ac:dyDescent="0.25">
      <c r="A29">
        <v>7</v>
      </c>
      <c r="B29" t="str">
        <f>HYPERLINK("http://www.ncbi.nlm.nih.gov/protein/NP_001192243.1","NP_001192243.1")</f>
        <v>NP_001192243.1</v>
      </c>
      <c r="C29">
        <v>337449</v>
      </c>
      <c r="D29" t="str">
        <f>HYPERLINK("http://www.ncbi.nlm.nih.gov/Taxonomy/Browser/wwwtax.cgi?mode=Info&amp;id=10090&amp;lvl=3&amp;lin=f&amp;keep=1&amp;srchmode=1&amp;unlock","10090")</f>
        <v>10090</v>
      </c>
      <c r="E29" t="s">
        <v>66</v>
      </c>
      <c r="F29" t="str">
        <f>HYPERLINK("http://www.ncbi.nlm.nih.gov/Taxonomy/Browser/wwwtax.cgi?mode=Info&amp;id=10090&amp;lvl=3&amp;lin=f&amp;keep=1&amp;srchmode=1&amp;unlock","Mus musculus")</f>
        <v>Mus musculus</v>
      </c>
      <c r="G29" t="s">
        <v>104</v>
      </c>
      <c r="H29" t="str">
        <f>HYPERLINK("http://www.ncbi.nlm.nih.gov/protein/NP_001192243.1","signal transducer and activator of transcription 1 isoform 2")</f>
        <v>signal transducer and activator of transcription 1 isoform 2</v>
      </c>
      <c r="I29" t="s">
        <v>268</v>
      </c>
      <c r="J29" t="s">
        <v>69</v>
      </c>
      <c r="K29">
        <v>628</v>
      </c>
      <c r="L29" t="s">
        <v>151</v>
      </c>
      <c r="M29" t="s">
        <v>69</v>
      </c>
      <c r="N29" t="s">
        <v>152</v>
      </c>
      <c r="O29" t="s">
        <v>69</v>
      </c>
      <c r="P29">
        <v>165.19200000000001</v>
      </c>
      <c r="Q29" t="s">
        <v>69</v>
      </c>
      <c r="R29" t="s">
        <v>69</v>
      </c>
      <c r="S29">
        <v>629</v>
      </c>
      <c r="T29" t="s">
        <v>157</v>
      </c>
      <c r="U29" t="s">
        <v>69</v>
      </c>
      <c r="V29" t="s">
        <v>75</v>
      </c>
      <c r="W29" t="s">
        <v>69</v>
      </c>
      <c r="X29">
        <v>155.15600000000001</v>
      </c>
      <c r="Y29" t="s">
        <v>69</v>
      </c>
      <c r="Z29" t="s">
        <v>69</v>
      </c>
      <c r="AA29">
        <v>630</v>
      </c>
      <c r="AB29" t="s">
        <v>73</v>
      </c>
      <c r="AC29" t="s">
        <v>69</v>
      </c>
      <c r="AD29" t="s">
        <v>71</v>
      </c>
      <c r="AE29" t="s">
        <v>69</v>
      </c>
      <c r="AF29">
        <v>89.093999999999994</v>
      </c>
      <c r="AG29" t="s">
        <v>69</v>
      </c>
      <c r="AH29" t="s">
        <v>69</v>
      </c>
      <c r="AI29">
        <v>631</v>
      </c>
      <c r="AJ29" t="s">
        <v>115</v>
      </c>
      <c r="AK29" t="s">
        <v>69</v>
      </c>
      <c r="AL29" t="s">
        <v>71</v>
      </c>
      <c r="AM29" t="s">
        <v>69</v>
      </c>
      <c r="AN29">
        <v>117.148</v>
      </c>
      <c r="AO29" t="s">
        <v>69</v>
      </c>
      <c r="AP29" t="s">
        <v>69</v>
      </c>
      <c r="AQ29">
        <v>632</v>
      </c>
      <c r="AR29" t="s">
        <v>119</v>
      </c>
      <c r="AS29" t="s">
        <v>69</v>
      </c>
      <c r="AT29" t="s">
        <v>120</v>
      </c>
      <c r="AU29" t="s">
        <v>69</v>
      </c>
      <c r="AV29">
        <v>147.131</v>
      </c>
      <c r="AW29" t="s">
        <v>69</v>
      </c>
      <c r="AX29" t="s">
        <v>69</v>
      </c>
      <c r="AY29">
        <v>651</v>
      </c>
      <c r="AZ29" t="s">
        <v>69</v>
      </c>
      <c r="BA29" t="s">
        <v>69</v>
      </c>
      <c r="BB29" t="s">
        <v>152</v>
      </c>
      <c r="BC29" t="s">
        <v>69</v>
      </c>
      <c r="BD29">
        <v>181.191</v>
      </c>
      <c r="BE29" t="s">
        <v>69</v>
      </c>
      <c r="BF29" t="s">
        <v>69</v>
      </c>
      <c r="BG29">
        <v>652</v>
      </c>
      <c r="BH29" t="s">
        <v>76</v>
      </c>
      <c r="BI29" t="s">
        <v>69</v>
      </c>
      <c r="BJ29" t="s">
        <v>75</v>
      </c>
      <c r="BK29" t="s">
        <v>69</v>
      </c>
      <c r="BL29">
        <v>146.18899999999999</v>
      </c>
      <c r="BM29" t="s">
        <v>69</v>
      </c>
      <c r="BN29" t="s">
        <v>69</v>
      </c>
    </row>
    <row r="30" spans="1:66" x14ac:dyDescent="0.25">
      <c r="A30">
        <v>7</v>
      </c>
      <c r="B30" t="str">
        <f>HYPERLINK("http://www.ncbi.nlm.nih.gov/protein/XP_006974921.1","XP_006974921.1")</f>
        <v>XP_006974921.1</v>
      </c>
      <c r="C30">
        <v>54287</v>
      </c>
      <c r="D30" t="str">
        <f>HYPERLINK("http://www.ncbi.nlm.nih.gov/Taxonomy/Browser/wwwtax.cgi?mode=Info&amp;id=230844&amp;lvl=3&amp;lin=f&amp;keep=1&amp;srchmode=1&amp;unlock","230844")</f>
        <v>230844</v>
      </c>
      <c r="E30" t="s">
        <v>66</v>
      </c>
      <c r="F30" t="str">
        <f>HYPERLINK("http://www.ncbi.nlm.nih.gov/Taxonomy/Browser/wwwtax.cgi?mode=Info&amp;id=230844&amp;lvl=3&amp;lin=f&amp;keep=1&amp;srchmode=1&amp;unlock","Peromyscus maniculatus bairdii")</f>
        <v>Peromyscus maniculatus bairdii</v>
      </c>
      <c r="G30" t="s">
        <v>88</v>
      </c>
      <c r="H30" t="str">
        <f>HYPERLINK("http://www.ncbi.nlm.nih.gov/protein/XP_006974921.1","signal transducer and activator of transcription 1-alpha/beta")</f>
        <v>signal transducer and activator of transcription 1-alpha/beta</v>
      </c>
      <c r="I30" t="s">
        <v>268</v>
      </c>
      <c r="J30" t="s">
        <v>69</v>
      </c>
      <c r="K30">
        <v>628</v>
      </c>
      <c r="L30" t="s">
        <v>151</v>
      </c>
      <c r="M30" t="s">
        <v>69</v>
      </c>
      <c r="N30" t="s">
        <v>152</v>
      </c>
      <c r="O30" t="s">
        <v>69</v>
      </c>
      <c r="P30">
        <v>165.19200000000001</v>
      </c>
      <c r="Q30" t="s">
        <v>69</v>
      </c>
      <c r="R30" t="s">
        <v>69</v>
      </c>
      <c r="S30">
        <v>629</v>
      </c>
      <c r="T30" t="s">
        <v>157</v>
      </c>
      <c r="U30" t="s">
        <v>69</v>
      </c>
      <c r="V30" t="s">
        <v>75</v>
      </c>
      <c r="W30" t="s">
        <v>69</v>
      </c>
      <c r="X30">
        <v>155.15600000000001</v>
      </c>
      <c r="Y30" t="s">
        <v>69</v>
      </c>
      <c r="Z30" t="s">
        <v>69</v>
      </c>
      <c r="AA30">
        <v>630</v>
      </c>
      <c r="AB30" t="s">
        <v>73</v>
      </c>
      <c r="AC30" t="s">
        <v>69</v>
      </c>
      <c r="AD30" t="s">
        <v>71</v>
      </c>
      <c r="AE30" t="s">
        <v>69</v>
      </c>
      <c r="AF30">
        <v>89.093999999999994</v>
      </c>
      <c r="AG30" t="s">
        <v>69</v>
      </c>
      <c r="AH30" t="s">
        <v>69</v>
      </c>
      <c r="AI30">
        <v>631</v>
      </c>
      <c r="AJ30" t="s">
        <v>115</v>
      </c>
      <c r="AK30" t="s">
        <v>69</v>
      </c>
      <c r="AL30" t="s">
        <v>71</v>
      </c>
      <c r="AM30" t="s">
        <v>69</v>
      </c>
      <c r="AN30">
        <v>117.148</v>
      </c>
      <c r="AO30" t="s">
        <v>69</v>
      </c>
      <c r="AP30" t="s">
        <v>69</v>
      </c>
      <c r="AQ30">
        <v>632</v>
      </c>
      <c r="AR30" t="s">
        <v>119</v>
      </c>
      <c r="AS30" t="s">
        <v>69</v>
      </c>
      <c r="AT30" t="s">
        <v>120</v>
      </c>
      <c r="AU30" t="s">
        <v>69</v>
      </c>
      <c r="AV30">
        <v>147.131</v>
      </c>
      <c r="AW30" t="s">
        <v>69</v>
      </c>
      <c r="AX30" t="s">
        <v>69</v>
      </c>
      <c r="AY30">
        <v>651</v>
      </c>
      <c r="AZ30" t="s">
        <v>69</v>
      </c>
      <c r="BA30" t="s">
        <v>69</v>
      </c>
      <c r="BB30" t="s">
        <v>152</v>
      </c>
      <c r="BC30" t="s">
        <v>69</v>
      </c>
      <c r="BD30">
        <v>181.191</v>
      </c>
      <c r="BE30" t="s">
        <v>69</v>
      </c>
      <c r="BF30" t="s">
        <v>69</v>
      </c>
      <c r="BG30">
        <v>652</v>
      </c>
      <c r="BH30" t="s">
        <v>76</v>
      </c>
      <c r="BI30" t="s">
        <v>69</v>
      </c>
      <c r="BJ30" t="s">
        <v>75</v>
      </c>
      <c r="BK30" t="s">
        <v>69</v>
      </c>
      <c r="BL30">
        <v>146.18899999999999</v>
      </c>
      <c r="BM30" t="s">
        <v>69</v>
      </c>
      <c r="BN30" t="s">
        <v>69</v>
      </c>
    </row>
    <row r="31" spans="1:66" x14ac:dyDescent="0.25">
      <c r="A31">
        <v>7</v>
      </c>
      <c r="B31" t="str">
        <f>HYPERLINK("http://www.ncbi.nlm.nih.gov/protein/CAD7685959.1","CAD7685959.1")</f>
        <v>CAD7685959.1</v>
      </c>
      <c r="C31">
        <v>27271</v>
      </c>
      <c r="D31" t="str">
        <f>HYPERLINK("http://www.ncbi.nlm.nih.gov/Taxonomy/Browser/wwwtax.cgi?mode=Info&amp;id=34880&amp;lvl=3&amp;lin=f&amp;keep=1&amp;srchmode=1&amp;unlock","34880")</f>
        <v>34880</v>
      </c>
      <c r="E31" t="s">
        <v>66</v>
      </c>
      <c r="F31" t="str">
        <f>HYPERLINK("http://www.ncbi.nlm.nih.gov/Taxonomy/Browser/wwwtax.cgi?mode=Info&amp;id=34880&amp;lvl=3&amp;lin=f&amp;keep=1&amp;srchmode=1&amp;unlock","Nyctereutes procyonoides")</f>
        <v>Nyctereutes procyonoides</v>
      </c>
      <c r="G31" t="s">
        <v>92</v>
      </c>
      <c r="H31" t="str">
        <f>HYPERLINK("http://www.ncbi.nlm.nih.gov/protein/CAD7685959.1","unnamed protein product")</f>
        <v>unnamed protein product</v>
      </c>
      <c r="I31" t="s">
        <v>268</v>
      </c>
      <c r="J31" t="s">
        <v>69</v>
      </c>
      <c r="K31">
        <v>655</v>
      </c>
      <c r="L31" t="s">
        <v>151</v>
      </c>
      <c r="M31" t="s">
        <v>69</v>
      </c>
      <c r="N31" t="s">
        <v>152</v>
      </c>
      <c r="O31" t="s">
        <v>69</v>
      </c>
      <c r="P31">
        <v>165.19200000000001</v>
      </c>
      <c r="Q31" t="s">
        <v>69</v>
      </c>
      <c r="R31" t="s">
        <v>69</v>
      </c>
      <c r="S31">
        <v>656</v>
      </c>
      <c r="T31" t="s">
        <v>157</v>
      </c>
      <c r="U31" t="s">
        <v>69</v>
      </c>
      <c r="V31" t="s">
        <v>75</v>
      </c>
      <c r="W31" t="s">
        <v>69</v>
      </c>
      <c r="X31">
        <v>155.15600000000001</v>
      </c>
      <c r="Y31" t="s">
        <v>69</v>
      </c>
      <c r="Z31" t="s">
        <v>69</v>
      </c>
      <c r="AA31">
        <v>657</v>
      </c>
      <c r="AB31" t="s">
        <v>73</v>
      </c>
      <c r="AC31" t="s">
        <v>69</v>
      </c>
      <c r="AD31" t="s">
        <v>71</v>
      </c>
      <c r="AE31" t="s">
        <v>69</v>
      </c>
      <c r="AF31">
        <v>89.093999999999994</v>
      </c>
      <c r="AG31" t="s">
        <v>69</v>
      </c>
      <c r="AH31" t="s">
        <v>69</v>
      </c>
      <c r="AI31">
        <v>658</v>
      </c>
      <c r="AJ31" t="s">
        <v>115</v>
      </c>
      <c r="AK31" t="s">
        <v>69</v>
      </c>
      <c r="AL31" t="s">
        <v>71</v>
      </c>
      <c r="AM31" t="s">
        <v>69</v>
      </c>
      <c r="AN31">
        <v>117.148</v>
      </c>
      <c r="AO31" t="s">
        <v>69</v>
      </c>
      <c r="AP31" t="s">
        <v>69</v>
      </c>
      <c r="AQ31">
        <v>659</v>
      </c>
      <c r="AR31" t="s">
        <v>119</v>
      </c>
      <c r="AS31" t="s">
        <v>69</v>
      </c>
      <c r="AT31" t="s">
        <v>120</v>
      </c>
      <c r="AU31" t="s">
        <v>69</v>
      </c>
      <c r="AV31">
        <v>147.131</v>
      </c>
      <c r="AW31" t="s">
        <v>69</v>
      </c>
      <c r="AX31" t="s">
        <v>69</v>
      </c>
      <c r="AY31">
        <v>678</v>
      </c>
      <c r="AZ31" t="s">
        <v>69</v>
      </c>
      <c r="BA31" t="s">
        <v>69</v>
      </c>
      <c r="BB31" t="s">
        <v>152</v>
      </c>
      <c r="BC31" t="s">
        <v>69</v>
      </c>
      <c r="BD31">
        <v>181.191</v>
      </c>
      <c r="BE31" t="s">
        <v>69</v>
      </c>
      <c r="BF31" t="s">
        <v>69</v>
      </c>
      <c r="BG31">
        <v>679</v>
      </c>
      <c r="BH31" t="s">
        <v>76</v>
      </c>
      <c r="BI31" t="s">
        <v>69</v>
      </c>
      <c r="BJ31" t="s">
        <v>75</v>
      </c>
      <c r="BK31" t="s">
        <v>69</v>
      </c>
      <c r="BL31">
        <v>146.18899999999999</v>
      </c>
      <c r="BM31" t="s">
        <v>69</v>
      </c>
      <c r="BN31" t="s">
        <v>69</v>
      </c>
    </row>
    <row r="32" spans="1:66" x14ac:dyDescent="0.25">
      <c r="A32">
        <v>7</v>
      </c>
      <c r="B32" t="str">
        <f>HYPERLINK("http://www.ncbi.nlm.nih.gov/protein/XP_005501767.1","XP_005501767.1")</f>
        <v>XP_005501767.1</v>
      </c>
      <c r="C32">
        <v>50957</v>
      </c>
      <c r="D32" t="str">
        <f>HYPERLINK("http://www.ncbi.nlm.nih.gov/Taxonomy/Browser/wwwtax.cgi?mode=Info&amp;id=8932&amp;lvl=3&amp;lin=f&amp;keep=1&amp;srchmode=1&amp;unlock","8932")</f>
        <v>8932</v>
      </c>
      <c r="E32" t="s">
        <v>107</v>
      </c>
      <c r="F32" t="str">
        <f>HYPERLINK("http://www.ncbi.nlm.nih.gov/Taxonomy/Browser/wwwtax.cgi?mode=Info&amp;id=8932&amp;lvl=3&amp;lin=f&amp;keep=1&amp;srchmode=1&amp;unlock","Columba livia")</f>
        <v>Columba livia</v>
      </c>
      <c r="G32" t="s">
        <v>108</v>
      </c>
      <c r="H32" t="str">
        <f>HYPERLINK("http://www.ncbi.nlm.nih.gov/protein/XP_005501767.1","signal transducer and activator of transcription 1-alpha/beta")</f>
        <v>signal transducer and activator of transcription 1-alpha/beta</v>
      </c>
      <c r="I32" t="s">
        <v>268</v>
      </c>
      <c r="J32" t="s">
        <v>69</v>
      </c>
      <c r="K32">
        <v>630</v>
      </c>
      <c r="L32" t="s">
        <v>151</v>
      </c>
      <c r="M32" t="s">
        <v>69</v>
      </c>
      <c r="N32" t="s">
        <v>152</v>
      </c>
      <c r="O32" t="s">
        <v>69</v>
      </c>
      <c r="P32">
        <v>165.19200000000001</v>
      </c>
      <c r="Q32" t="s">
        <v>69</v>
      </c>
      <c r="R32" t="s">
        <v>69</v>
      </c>
      <c r="S32">
        <v>631</v>
      </c>
      <c r="T32" t="s">
        <v>157</v>
      </c>
      <c r="U32" t="s">
        <v>69</v>
      </c>
      <c r="V32" t="s">
        <v>75</v>
      </c>
      <c r="W32" t="s">
        <v>69</v>
      </c>
      <c r="X32">
        <v>155.15600000000001</v>
      </c>
      <c r="Y32" t="s">
        <v>69</v>
      </c>
      <c r="Z32" t="s">
        <v>69</v>
      </c>
      <c r="AA32">
        <v>632</v>
      </c>
      <c r="AB32" t="s">
        <v>155</v>
      </c>
      <c r="AC32" t="s">
        <v>153</v>
      </c>
      <c r="AD32" t="s">
        <v>150</v>
      </c>
      <c r="AE32" t="s">
        <v>153</v>
      </c>
      <c r="AF32">
        <v>105.093</v>
      </c>
      <c r="AG32" t="s">
        <v>69</v>
      </c>
      <c r="AH32" t="s">
        <v>69</v>
      </c>
      <c r="AI32">
        <v>633</v>
      </c>
      <c r="AJ32" t="s">
        <v>115</v>
      </c>
      <c r="AK32" t="s">
        <v>69</v>
      </c>
      <c r="AL32" t="s">
        <v>71</v>
      </c>
      <c r="AM32" t="s">
        <v>69</v>
      </c>
      <c r="AN32">
        <v>117.148</v>
      </c>
      <c r="AO32" t="s">
        <v>69</v>
      </c>
      <c r="AP32" t="s">
        <v>69</v>
      </c>
      <c r="AQ32">
        <v>634</v>
      </c>
      <c r="AR32" t="s">
        <v>119</v>
      </c>
      <c r="AS32" t="s">
        <v>69</v>
      </c>
      <c r="AT32" t="s">
        <v>120</v>
      </c>
      <c r="AU32" t="s">
        <v>69</v>
      </c>
      <c r="AV32">
        <v>147.131</v>
      </c>
      <c r="AW32" t="s">
        <v>69</v>
      </c>
      <c r="AX32" t="s">
        <v>69</v>
      </c>
      <c r="AY32">
        <v>653</v>
      </c>
      <c r="AZ32" t="s">
        <v>69</v>
      </c>
      <c r="BA32" t="s">
        <v>69</v>
      </c>
      <c r="BB32" t="s">
        <v>152</v>
      </c>
      <c r="BC32" t="s">
        <v>69</v>
      </c>
      <c r="BD32">
        <v>181.191</v>
      </c>
      <c r="BE32" t="s">
        <v>69</v>
      </c>
      <c r="BF32" t="s">
        <v>69</v>
      </c>
      <c r="BG32">
        <v>654</v>
      </c>
      <c r="BH32" t="s">
        <v>76</v>
      </c>
      <c r="BI32" t="s">
        <v>69</v>
      </c>
      <c r="BJ32" t="s">
        <v>75</v>
      </c>
      <c r="BK32" t="s">
        <v>69</v>
      </c>
      <c r="BL32">
        <v>146.18899999999999</v>
      </c>
      <c r="BM32" t="s">
        <v>69</v>
      </c>
      <c r="BN32" t="s">
        <v>69</v>
      </c>
    </row>
    <row r="33" spans="1:66" x14ac:dyDescent="0.25">
      <c r="A33">
        <v>7</v>
      </c>
      <c r="B33" t="str">
        <f>HYPERLINK("http://www.ncbi.nlm.nih.gov/protein/OCT63933.1","OCT63933.1")</f>
        <v>OCT63933.1</v>
      </c>
      <c r="C33">
        <v>146185</v>
      </c>
      <c r="D33" t="str">
        <f>HYPERLINK("http://www.ncbi.nlm.nih.gov/Taxonomy/Browser/wwwtax.cgi?mode=Info&amp;id=8355&amp;lvl=3&amp;lin=f&amp;keep=1&amp;srchmode=1&amp;unlock","8355")</f>
        <v>8355</v>
      </c>
      <c r="E33" t="s">
        <v>111</v>
      </c>
      <c r="F33" t="str">
        <f>HYPERLINK("http://www.ncbi.nlm.nih.gov/Taxonomy/Browser/wwwtax.cgi?mode=Info&amp;id=8355&amp;lvl=3&amp;lin=f&amp;keep=1&amp;srchmode=1&amp;unlock","Xenopus laevis")</f>
        <v>Xenopus laevis</v>
      </c>
      <c r="G33" t="s">
        <v>112</v>
      </c>
      <c r="H33" t="str">
        <f>HYPERLINK("http://www.ncbi.nlm.nih.gov/protein/OCT63933.1","hypothetical protein XELAEV_18045030mg")</f>
        <v>hypothetical protein XELAEV_18045030mg</v>
      </c>
      <c r="I33" t="s">
        <v>268</v>
      </c>
      <c r="J33" t="s">
        <v>69</v>
      </c>
      <c r="K33">
        <v>627</v>
      </c>
      <c r="L33" t="s">
        <v>151</v>
      </c>
      <c r="M33" t="s">
        <v>69</v>
      </c>
      <c r="N33" t="s">
        <v>152</v>
      </c>
      <c r="O33" t="s">
        <v>69</v>
      </c>
      <c r="P33">
        <v>165.19200000000001</v>
      </c>
      <c r="Q33" t="s">
        <v>69</v>
      </c>
      <c r="R33" t="s">
        <v>69</v>
      </c>
      <c r="S33">
        <v>628</v>
      </c>
      <c r="T33" t="s">
        <v>157</v>
      </c>
      <c r="U33" t="s">
        <v>69</v>
      </c>
      <c r="V33" t="s">
        <v>75</v>
      </c>
      <c r="W33" t="s">
        <v>69</v>
      </c>
      <c r="X33">
        <v>155.15600000000001</v>
      </c>
      <c r="Y33" t="s">
        <v>69</v>
      </c>
      <c r="Z33" t="s">
        <v>69</v>
      </c>
      <c r="AA33">
        <v>629</v>
      </c>
      <c r="AB33" t="s">
        <v>155</v>
      </c>
      <c r="AC33" t="s">
        <v>153</v>
      </c>
      <c r="AD33" t="s">
        <v>150</v>
      </c>
      <c r="AE33" t="s">
        <v>153</v>
      </c>
      <c r="AF33">
        <v>105.093</v>
      </c>
      <c r="AG33" t="s">
        <v>69</v>
      </c>
      <c r="AH33" t="s">
        <v>69</v>
      </c>
      <c r="AI33">
        <v>630</v>
      </c>
      <c r="AJ33" t="s">
        <v>115</v>
      </c>
      <c r="AK33" t="s">
        <v>69</v>
      </c>
      <c r="AL33" t="s">
        <v>71</v>
      </c>
      <c r="AM33" t="s">
        <v>69</v>
      </c>
      <c r="AN33">
        <v>117.148</v>
      </c>
      <c r="AO33" t="s">
        <v>69</v>
      </c>
      <c r="AP33" t="s">
        <v>69</v>
      </c>
      <c r="AQ33">
        <v>631</v>
      </c>
      <c r="AR33" t="s">
        <v>119</v>
      </c>
      <c r="AS33" t="s">
        <v>69</v>
      </c>
      <c r="AT33" t="s">
        <v>120</v>
      </c>
      <c r="AU33" t="s">
        <v>69</v>
      </c>
      <c r="AV33">
        <v>147.131</v>
      </c>
      <c r="AW33" t="s">
        <v>69</v>
      </c>
      <c r="AX33" t="s">
        <v>69</v>
      </c>
      <c r="AY33">
        <v>650</v>
      </c>
      <c r="AZ33" t="s">
        <v>69</v>
      </c>
      <c r="BA33" t="s">
        <v>69</v>
      </c>
      <c r="BB33" t="s">
        <v>152</v>
      </c>
      <c r="BC33" t="s">
        <v>69</v>
      </c>
      <c r="BD33">
        <v>181.191</v>
      </c>
      <c r="BE33" t="s">
        <v>69</v>
      </c>
      <c r="BF33" t="s">
        <v>69</v>
      </c>
      <c r="BG33">
        <v>651</v>
      </c>
      <c r="BH33" t="s">
        <v>76</v>
      </c>
      <c r="BI33" t="s">
        <v>69</v>
      </c>
      <c r="BJ33" t="s">
        <v>75</v>
      </c>
      <c r="BK33" t="s">
        <v>69</v>
      </c>
      <c r="BL33">
        <v>146.18899999999999</v>
      </c>
      <c r="BM33" t="s">
        <v>69</v>
      </c>
      <c r="BN33" t="s">
        <v>69</v>
      </c>
    </row>
    <row r="34" spans="1:66" x14ac:dyDescent="0.25">
      <c r="A34">
        <v>7</v>
      </c>
      <c r="B34" t="str">
        <f>HYPERLINK("http://www.ncbi.nlm.nih.gov/protein/XP_014380837.1","XP_014380837.1")</f>
        <v>XP_014380837.1</v>
      </c>
      <c r="C34">
        <v>43404</v>
      </c>
      <c r="D34" t="str">
        <f>HYPERLINK("http://www.ncbi.nlm.nih.gov/Taxonomy/Browser/wwwtax.cgi?mode=Info&amp;id=38654&amp;lvl=3&amp;lin=f&amp;keep=1&amp;srchmode=1&amp;unlock","38654")</f>
        <v>38654</v>
      </c>
      <c r="E34" t="s">
        <v>109</v>
      </c>
      <c r="F34" t="str">
        <f>HYPERLINK("http://www.ncbi.nlm.nih.gov/Taxonomy/Browser/wwwtax.cgi?mode=Info&amp;id=38654&amp;lvl=3&amp;lin=f&amp;keep=1&amp;srchmode=1&amp;unlock","Alligator sinensis")</f>
        <v>Alligator sinensis</v>
      </c>
      <c r="G34" t="s">
        <v>110</v>
      </c>
      <c r="H34" t="str">
        <f>HYPERLINK("http://www.ncbi.nlm.nih.gov/protein/XP_014380837.1","signal transducer and activator of transcription 1-alpha/beta")</f>
        <v>signal transducer and activator of transcription 1-alpha/beta</v>
      </c>
      <c r="I34" t="s">
        <v>268</v>
      </c>
      <c r="J34" t="s">
        <v>69</v>
      </c>
      <c r="K34">
        <v>628</v>
      </c>
      <c r="L34" t="s">
        <v>151</v>
      </c>
      <c r="M34" t="s">
        <v>69</v>
      </c>
      <c r="N34" t="s">
        <v>152</v>
      </c>
      <c r="O34" t="s">
        <v>69</v>
      </c>
      <c r="P34">
        <v>165.19200000000001</v>
      </c>
      <c r="Q34" t="s">
        <v>69</v>
      </c>
      <c r="R34" t="s">
        <v>69</v>
      </c>
      <c r="S34">
        <v>629</v>
      </c>
      <c r="T34" t="s">
        <v>157</v>
      </c>
      <c r="U34" t="s">
        <v>69</v>
      </c>
      <c r="V34" t="s">
        <v>75</v>
      </c>
      <c r="W34" t="s">
        <v>69</v>
      </c>
      <c r="X34">
        <v>155.15600000000001</v>
      </c>
      <c r="Y34" t="s">
        <v>69</v>
      </c>
      <c r="Z34" t="s">
        <v>69</v>
      </c>
      <c r="AA34">
        <v>630</v>
      </c>
      <c r="AB34" t="s">
        <v>155</v>
      </c>
      <c r="AC34" t="s">
        <v>153</v>
      </c>
      <c r="AD34" t="s">
        <v>150</v>
      </c>
      <c r="AE34" t="s">
        <v>153</v>
      </c>
      <c r="AF34">
        <v>105.093</v>
      </c>
      <c r="AG34" t="s">
        <v>69</v>
      </c>
      <c r="AH34" t="s">
        <v>69</v>
      </c>
      <c r="AI34">
        <v>631</v>
      </c>
      <c r="AJ34" t="s">
        <v>115</v>
      </c>
      <c r="AK34" t="s">
        <v>69</v>
      </c>
      <c r="AL34" t="s">
        <v>71</v>
      </c>
      <c r="AM34" t="s">
        <v>69</v>
      </c>
      <c r="AN34">
        <v>117.148</v>
      </c>
      <c r="AO34" t="s">
        <v>69</v>
      </c>
      <c r="AP34" t="s">
        <v>69</v>
      </c>
      <c r="AQ34">
        <v>632</v>
      </c>
      <c r="AR34" t="s">
        <v>119</v>
      </c>
      <c r="AS34" t="s">
        <v>69</v>
      </c>
      <c r="AT34" t="s">
        <v>120</v>
      </c>
      <c r="AU34" t="s">
        <v>69</v>
      </c>
      <c r="AV34">
        <v>147.131</v>
      </c>
      <c r="AW34" t="s">
        <v>69</v>
      </c>
      <c r="AX34" t="s">
        <v>69</v>
      </c>
      <c r="AY34">
        <v>651</v>
      </c>
      <c r="AZ34" t="s">
        <v>69</v>
      </c>
      <c r="BA34" t="s">
        <v>69</v>
      </c>
      <c r="BB34" t="s">
        <v>152</v>
      </c>
      <c r="BC34" t="s">
        <v>69</v>
      </c>
      <c r="BD34">
        <v>181.191</v>
      </c>
      <c r="BE34" t="s">
        <v>69</v>
      </c>
      <c r="BF34" t="s">
        <v>69</v>
      </c>
      <c r="BG34">
        <v>652</v>
      </c>
      <c r="BH34" t="s">
        <v>76</v>
      </c>
      <c r="BI34" t="s">
        <v>69</v>
      </c>
      <c r="BJ34" t="s">
        <v>75</v>
      </c>
      <c r="BK34" t="s">
        <v>69</v>
      </c>
      <c r="BL34">
        <v>146.18899999999999</v>
      </c>
      <c r="BM34" t="s">
        <v>69</v>
      </c>
      <c r="BN34" t="s">
        <v>69</v>
      </c>
    </row>
    <row r="35" spans="1:66" x14ac:dyDescent="0.25">
      <c r="A35">
        <v>7</v>
      </c>
      <c r="B35" t="str">
        <f>HYPERLINK("http://www.ncbi.nlm.nih.gov/protein/XP_039538142.1","XP_039538142.1")</f>
        <v>XP_039538142.1</v>
      </c>
      <c r="C35">
        <v>96114</v>
      </c>
      <c r="D35" t="str">
        <f>HYPERLINK("http://www.ncbi.nlm.nih.gov/Taxonomy/Browser/wwwtax.cgi?mode=Info&amp;id=90988&amp;lvl=3&amp;lin=f&amp;keep=1&amp;srchmode=1&amp;unlock","90988")</f>
        <v>90988</v>
      </c>
      <c r="E35" t="s">
        <v>113</v>
      </c>
      <c r="F35" t="str">
        <f>HYPERLINK("http://www.ncbi.nlm.nih.gov/Taxonomy/Browser/wwwtax.cgi?mode=Info&amp;id=90988&amp;lvl=3&amp;lin=f&amp;keep=1&amp;srchmode=1&amp;unlock","Pimephales promelas")</f>
        <v>Pimephales promelas</v>
      </c>
      <c r="G35" t="s">
        <v>114</v>
      </c>
      <c r="H35" t="str">
        <f>HYPERLINK("http://www.ncbi.nlm.nih.gov/protein/XP_039538142.1","signal transducer and activator of transcription 1a")</f>
        <v>signal transducer and activator of transcription 1a</v>
      </c>
      <c r="I35" t="s">
        <v>268</v>
      </c>
      <c r="J35" t="s">
        <v>153</v>
      </c>
      <c r="K35">
        <v>625</v>
      </c>
      <c r="L35" t="s">
        <v>145</v>
      </c>
      <c r="M35" t="s">
        <v>153</v>
      </c>
      <c r="N35" t="s">
        <v>71</v>
      </c>
      <c r="O35" t="s">
        <v>153</v>
      </c>
      <c r="P35">
        <v>131.17500000000001</v>
      </c>
      <c r="Q35" t="s">
        <v>153</v>
      </c>
      <c r="R35" t="s">
        <v>153</v>
      </c>
      <c r="S35">
        <v>626</v>
      </c>
      <c r="T35" t="s">
        <v>74</v>
      </c>
      <c r="U35" t="s">
        <v>153</v>
      </c>
      <c r="V35" t="s">
        <v>75</v>
      </c>
      <c r="W35" t="s">
        <v>69</v>
      </c>
      <c r="X35">
        <v>174.203</v>
      </c>
      <c r="Y35" t="s">
        <v>69</v>
      </c>
      <c r="Z35" t="s">
        <v>69</v>
      </c>
      <c r="AA35">
        <v>627</v>
      </c>
      <c r="AB35" t="s">
        <v>155</v>
      </c>
      <c r="AC35" t="s">
        <v>153</v>
      </c>
      <c r="AD35" t="s">
        <v>150</v>
      </c>
      <c r="AE35" t="s">
        <v>153</v>
      </c>
      <c r="AF35">
        <v>105.093</v>
      </c>
      <c r="AG35" t="s">
        <v>69</v>
      </c>
      <c r="AH35" t="s">
        <v>69</v>
      </c>
      <c r="AI35">
        <v>628</v>
      </c>
      <c r="AJ35" t="s">
        <v>115</v>
      </c>
      <c r="AK35" t="s">
        <v>69</v>
      </c>
      <c r="AL35" t="s">
        <v>71</v>
      </c>
      <c r="AM35" t="s">
        <v>69</v>
      </c>
      <c r="AN35">
        <v>117.148</v>
      </c>
      <c r="AO35" t="s">
        <v>69</v>
      </c>
      <c r="AP35" t="s">
        <v>69</v>
      </c>
      <c r="AQ35">
        <v>629</v>
      </c>
      <c r="AR35" t="s">
        <v>119</v>
      </c>
      <c r="AS35" t="s">
        <v>69</v>
      </c>
      <c r="AT35" t="s">
        <v>120</v>
      </c>
      <c r="AU35" t="s">
        <v>69</v>
      </c>
      <c r="AV35">
        <v>147.131</v>
      </c>
      <c r="AW35" t="s">
        <v>69</v>
      </c>
      <c r="AX35" t="s">
        <v>69</v>
      </c>
      <c r="AY35">
        <v>648</v>
      </c>
      <c r="AZ35" t="s">
        <v>69</v>
      </c>
      <c r="BA35" t="s">
        <v>69</v>
      </c>
      <c r="BB35" t="s">
        <v>152</v>
      </c>
      <c r="BC35" t="s">
        <v>69</v>
      </c>
      <c r="BD35">
        <v>181.191</v>
      </c>
      <c r="BE35" t="s">
        <v>69</v>
      </c>
      <c r="BF35" t="s">
        <v>69</v>
      </c>
      <c r="BG35">
        <v>649</v>
      </c>
      <c r="BH35" t="s">
        <v>74</v>
      </c>
      <c r="BI35" t="s">
        <v>153</v>
      </c>
      <c r="BJ35" t="s">
        <v>75</v>
      </c>
      <c r="BK35" t="s">
        <v>69</v>
      </c>
      <c r="BL35">
        <v>174.203</v>
      </c>
      <c r="BM35" t="s">
        <v>69</v>
      </c>
      <c r="BN35" t="s">
        <v>69</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5"/>
  <sheetViews>
    <sheetView topLeftCell="A2" workbookViewId="0">
      <selection activeCell="A2" sqref="A2"/>
    </sheetView>
  </sheetViews>
  <sheetFormatPr defaultRowHeight="15" x14ac:dyDescent="0.25"/>
  <cols>
    <col min="8" max="8" width="65.140625" customWidth="1"/>
  </cols>
  <sheetData>
    <row r="1" spans="1: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row>
    <row r="2" spans="1:74" x14ac:dyDescent="0.25">
      <c r="A2">
        <v>7</v>
      </c>
      <c r="B2" t="str">
        <f>HYPERLINK("http://www.ncbi.nlm.nih.gov/protein/NP_009330.1","NP_009330.1")</f>
        <v>NP_009330.1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HYPERLINK("http://www.ncbi.nlm.nih.gov/protein/NP_009330.1","signal transducer and activator of transcription 1-alpha/beta isoform alpha")</f>
        <v>signal transducer and activator of transcription 1-alpha/beta isoform alpha</v>
      </c>
      <c r="I2" t="s">
        <v>268</v>
      </c>
      <c r="J2" t="s">
        <v>69</v>
      </c>
      <c r="K2">
        <v>584</v>
      </c>
      <c r="L2" t="s">
        <v>76</v>
      </c>
      <c r="M2" t="s">
        <v>69</v>
      </c>
      <c r="N2" t="s">
        <v>75</v>
      </c>
      <c r="O2" t="s">
        <v>69</v>
      </c>
      <c r="P2">
        <v>146.18899999999999</v>
      </c>
      <c r="Q2" t="s">
        <v>69</v>
      </c>
      <c r="R2" t="s">
        <v>69</v>
      </c>
      <c r="S2">
        <v>585</v>
      </c>
      <c r="T2" t="s">
        <v>119</v>
      </c>
      <c r="U2" t="s">
        <v>69</v>
      </c>
      <c r="V2" t="s">
        <v>120</v>
      </c>
      <c r="W2" t="s">
        <v>69</v>
      </c>
      <c r="X2">
        <v>147.131</v>
      </c>
      <c r="Y2" t="s">
        <v>69</v>
      </c>
      <c r="Z2" t="s">
        <v>69</v>
      </c>
      <c r="AA2">
        <v>588</v>
      </c>
      <c r="AB2" t="s">
        <v>74</v>
      </c>
      <c r="AC2" t="s">
        <v>69</v>
      </c>
      <c r="AD2" t="s">
        <v>75</v>
      </c>
      <c r="AE2" t="s">
        <v>69</v>
      </c>
      <c r="AF2">
        <v>174.203</v>
      </c>
      <c r="AG2" t="s">
        <v>69</v>
      </c>
      <c r="AH2" t="s">
        <v>69</v>
      </c>
      <c r="AI2">
        <v>616</v>
      </c>
      <c r="AJ2" t="s">
        <v>250</v>
      </c>
      <c r="AK2" t="s">
        <v>69</v>
      </c>
      <c r="AL2" t="s">
        <v>152</v>
      </c>
      <c r="AM2" t="s">
        <v>69</v>
      </c>
      <c r="AN2">
        <v>204.22800000000001</v>
      </c>
      <c r="AO2" t="s">
        <v>69</v>
      </c>
      <c r="AP2" t="s">
        <v>69</v>
      </c>
      <c r="AQ2">
        <v>627</v>
      </c>
      <c r="AR2" t="s">
        <v>156</v>
      </c>
      <c r="AS2" t="s">
        <v>69</v>
      </c>
      <c r="AT2" t="s">
        <v>120</v>
      </c>
      <c r="AU2" t="s">
        <v>69</v>
      </c>
      <c r="AV2">
        <v>133.10400000000001</v>
      </c>
      <c r="AW2" t="s">
        <v>69</v>
      </c>
      <c r="AX2" t="s">
        <v>69</v>
      </c>
      <c r="AY2">
        <v>633</v>
      </c>
      <c r="AZ2" t="s">
        <v>146</v>
      </c>
      <c r="BA2" t="s">
        <v>69</v>
      </c>
      <c r="BB2" t="s">
        <v>71</v>
      </c>
      <c r="BC2" t="s">
        <v>69</v>
      </c>
      <c r="BD2">
        <v>115.13200000000001</v>
      </c>
      <c r="BE2" t="s">
        <v>69</v>
      </c>
      <c r="BF2" t="s">
        <v>69</v>
      </c>
      <c r="BG2">
        <v>634</v>
      </c>
      <c r="BH2" t="s">
        <v>69</v>
      </c>
      <c r="BI2" t="s">
        <v>69</v>
      </c>
      <c r="BJ2" t="s">
        <v>152</v>
      </c>
      <c r="BK2" t="s">
        <v>69</v>
      </c>
      <c r="BL2">
        <v>181.191</v>
      </c>
      <c r="BM2" t="s">
        <v>69</v>
      </c>
      <c r="BN2" t="s">
        <v>69</v>
      </c>
      <c r="BO2">
        <v>653</v>
      </c>
      <c r="BP2" t="s">
        <v>115</v>
      </c>
      <c r="BQ2" t="s">
        <v>69</v>
      </c>
      <c r="BR2" t="s">
        <v>71</v>
      </c>
      <c r="BS2" t="s">
        <v>69</v>
      </c>
      <c r="BT2">
        <v>117.148</v>
      </c>
      <c r="BU2" t="s">
        <v>69</v>
      </c>
      <c r="BV2" t="s">
        <v>69</v>
      </c>
    </row>
    <row r="3" spans="1:74" x14ac:dyDescent="0.25">
      <c r="A3">
        <v>7</v>
      </c>
      <c r="B3" t="str">
        <f>HYPERLINK("http://www.ncbi.nlm.nih.gov/protein/XP_018877552.1","XP_018877552.1")</f>
        <v>XP_018877552.1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HYPERLINK("http://www.ncbi.nlm.nih.gov/protein/XP_018877552.1","signal transducer and activator of transcription 1-alpha/beta")</f>
        <v>signal transducer and activator of transcription 1-alpha/beta</v>
      </c>
      <c r="I3" t="s">
        <v>268</v>
      </c>
      <c r="J3" t="s">
        <v>69</v>
      </c>
      <c r="K3">
        <v>584</v>
      </c>
      <c r="L3" t="s">
        <v>76</v>
      </c>
      <c r="M3" t="s">
        <v>69</v>
      </c>
      <c r="N3" t="s">
        <v>75</v>
      </c>
      <c r="O3" t="s">
        <v>69</v>
      </c>
      <c r="P3">
        <v>146.18899999999999</v>
      </c>
      <c r="Q3" t="s">
        <v>69</v>
      </c>
      <c r="R3" t="s">
        <v>69</v>
      </c>
      <c r="S3">
        <v>585</v>
      </c>
      <c r="T3" t="s">
        <v>119</v>
      </c>
      <c r="U3" t="s">
        <v>69</v>
      </c>
      <c r="V3" t="s">
        <v>120</v>
      </c>
      <c r="W3" t="s">
        <v>69</v>
      </c>
      <c r="X3">
        <v>147.131</v>
      </c>
      <c r="Y3" t="s">
        <v>69</v>
      </c>
      <c r="Z3" t="s">
        <v>69</v>
      </c>
      <c r="AA3">
        <v>588</v>
      </c>
      <c r="AB3" t="s">
        <v>74</v>
      </c>
      <c r="AC3" t="s">
        <v>69</v>
      </c>
      <c r="AD3" t="s">
        <v>75</v>
      </c>
      <c r="AE3" t="s">
        <v>69</v>
      </c>
      <c r="AF3">
        <v>174.203</v>
      </c>
      <c r="AG3" t="s">
        <v>69</v>
      </c>
      <c r="AH3" t="s">
        <v>69</v>
      </c>
      <c r="AI3">
        <v>616</v>
      </c>
      <c r="AJ3" t="s">
        <v>250</v>
      </c>
      <c r="AK3" t="s">
        <v>69</v>
      </c>
      <c r="AL3" t="s">
        <v>152</v>
      </c>
      <c r="AM3" t="s">
        <v>69</v>
      </c>
      <c r="AN3">
        <v>204.22800000000001</v>
      </c>
      <c r="AO3" t="s">
        <v>69</v>
      </c>
      <c r="AP3" t="s">
        <v>69</v>
      </c>
      <c r="AQ3">
        <v>627</v>
      </c>
      <c r="AR3" t="s">
        <v>156</v>
      </c>
      <c r="AS3" t="s">
        <v>69</v>
      </c>
      <c r="AT3" t="s">
        <v>120</v>
      </c>
      <c r="AU3" t="s">
        <v>69</v>
      </c>
      <c r="AV3">
        <v>133.10400000000001</v>
      </c>
      <c r="AW3" t="s">
        <v>69</v>
      </c>
      <c r="AX3" t="s">
        <v>69</v>
      </c>
      <c r="AY3">
        <v>633</v>
      </c>
      <c r="AZ3" t="s">
        <v>146</v>
      </c>
      <c r="BA3" t="s">
        <v>69</v>
      </c>
      <c r="BB3" t="s">
        <v>71</v>
      </c>
      <c r="BC3" t="s">
        <v>69</v>
      </c>
      <c r="BD3">
        <v>115.13200000000001</v>
      </c>
      <c r="BE3" t="s">
        <v>69</v>
      </c>
      <c r="BF3" t="s">
        <v>69</v>
      </c>
      <c r="BG3">
        <v>634</v>
      </c>
      <c r="BH3" t="s">
        <v>69</v>
      </c>
      <c r="BI3" t="s">
        <v>69</v>
      </c>
      <c r="BJ3" t="s">
        <v>152</v>
      </c>
      <c r="BK3" t="s">
        <v>69</v>
      </c>
      <c r="BL3">
        <v>181.191</v>
      </c>
      <c r="BM3" t="s">
        <v>69</v>
      </c>
      <c r="BN3" t="s">
        <v>69</v>
      </c>
      <c r="BO3">
        <v>653</v>
      </c>
      <c r="BP3" t="s">
        <v>115</v>
      </c>
      <c r="BQ3" t="s">
        <v>69</v>
      </c>
      <c r="BR3" t="s">
        <v>71</v>
      </c>
      <c r="BS3" t="s">
        <v>69</v>
      </c>
      <c r="BT3">
        <v>117.148</v>
      </c>
      <c r="BU3" t="s">
        <v>69</v>
      </c>
      <c r="BV3" t="s">
        <v>69</v>
      </c>
    </row>
    <row r="4" spans="1:74" x14ac:dyDescent="0.25">
      <c r="A4">
        <v>7</v>
      </c>
      <c r="B4" t="str">
        <f>HYPERLINK("http://www.ncbi.nlm.nih.gov/protein/NP_001248543.1","NP_001248543.1")</f>
        <v>NP_001248543.1</v>
      </c>
      <c r="C4">
        <v>178339</v>
      </c>
      <c r="D4" t="str">
        <f>HYPERLINK("http://www.ncbi.nlm.nih.gov/Taxonomy/Browser/wwwtax.cgi?mode=Info&amp;id=9544&amp;lvl=3&amp;lin=f&amp;keep=1&amp;srchmode=1&amp;unlock","9544")</f>
        <v>9544</v>
      </c>
      <c r="E4" t="s">
        <v>66</v>
      </c>
      <c r="F4" t="str">
        <f>HYPERLINK("http://www.ncbi.nlm.nih.gov/Taxonomy/Browser/wwwtax.cgi?mode=Info&amp;id=9544&amp;lvl=3&amp;lin=f&amp;keep=1&amp;srchmode=1&amp;unlock","Macaca mulatta")</f>
        <v>Macaca mulatta</v>
      </c>
      <c r="G4" t="s">
        <v>77</v>
      </c>
      <c r="H4" t="str">
        <f>HYPERLINK("http://www.ncbi.nlm.nih.gov/protein/NP_001248543.1","signal transducer and activator of transcription 1-alpha/beta")</f>
        <v>signal transducer and activator of transcription 1-alpha/beta</v>
      </c>
      <c r="I4" t="s">
        <v>268</v>
      </c>
      <c r="J4" t="s">
        <v>153</v>
      </c>
      <c r="K4">
        <v>584</v>
      </c>
      <c r="L4" t="s">
        <v>76</v>
      </c>
      <c r="M4" t="s">
        <v>69</v>
      </c>
      <c r="N4" t="s">
        <v>75</v>
      </c>
      <c r="O4" t="s">
        <v>69</v>
      </c>
      <c r="P4">
        <v>146.18899999999999</v>
      </c>
      <c r="Q4" t="s">
        <v>69</v>
      </c>
      <c r="R4" t="s">
        <v>69</v>
      </c>
      <c r="S4">
        <v>585</v>
      </c>
      <c r="T4" t="s">
        <v>119</v>
      </c>
      <c r="U4" t="s">
        <v>69</v>
      </c>
      <c r="V4" t="s">
        <v>120</v>
      </c>
      <c r="W4" t="s">
        <v>69</v>
      </c>
      <c r="X4">
        <v>147.131</v>
      </c>
      <c r="Y4" t="s">
        <v>69</v>
      </c>
      <c r="Z4" t="s">
        <v>69</v>
      </c>
      <c r="AA4">
        <v>588</v>
      </c>
      <c r="AB4" t="s">
        <v>74</v>
      </c>
      <c r="AC4" t="s">
        <v>69</v>
      </c>
      <c r="AD4" t="s">
        <v>75</v>
      </c>
      <c r="AE4" t="s">
        <v>69</v>
      </c>
      <c r="AF4">
        <v>174.203</v>
      </c>
      <c r="AG4" t="s">
        <v>69</v>
      </c>
      <c r="AH4" t="s">
        <v>69</v>
      </c>
      <c r="AI4">
        <v>616</v>
      </c>
      <c r="AJ4" t="s">
        <v>250</v>
      </c>
      <c r="AK4" t="s">
        <v>69</v>
      </c>
      <c r="AL4" t="s">
        <v>152</v>
      </c>
      <c r="AM4" t="s">
        <v>69</v>
      </c>
      <c r="AN4">
        <v>204.22800000000001</v>
      </c>
      <c r="AO4" t="s">
        <v>69</v>
      </c>
      <c r="AP4" t="s">
        <v>69</v>
      </c>
      <c r="AQ4">
        <v>627</v>
      </c>
      <c r="AR4" t="s">
        <v>69</v>
      </c>
      <c r="AS4" t="s">
        <v>153</v>
      </c>
      <c r="AT4" t="s">
        <v>152</v>
      </c>
      <c r="AU4" t="s">
        <v>153</v>
      </c>
      <c r="AV4">
        <v>181.191</v>
      </c>
      <c r="AW4" t="s">
        <v>153</v>
      </c>
      <c r="AX4" t="s">
        <v>153</v>
      </c>
      <c r="AY4">
        <v>633</v>
      </c>
      <c r="AZ4" t="s">
        <v>146</v>
      </c>
      <c r="BA4" t="s">
        <v>69</v>
      </c>
      <c r="BB4" t="s">
        <v>71</v>
      </c>
      <c r="BC4" t="s">
        <v>69</v>
      </c>
      <c r="BD4">
        <v>115.13200000000001</v>
      </c>
      <c r="BE4" t="s">
        <v>69</v>
      </c>
      <c r="BF4" t="s">
        <v>69</v>
      </c>
      <c r="BG4">
        <v>634</v>
      </c>
      <c r="BH4" t="s">
        <v>69</v>
      </c>
      <c r="BI4" t="s">
        <v>69</v>
      </c>
      <c r="BJ4" t="s">
        <v>152</v>
      </c>
      <c r="BK4" t="s">
        <v>69</v>
      </c>
      <c r="BL4">
        <v>181.191</v>
      </c>
      <c r="BM4" t="s">
        <v>69</v>
      </c>
      <c r="BN4" t="s">
        <v>69</v>
      </c>
      <c r="BO4">
        <v>653</v>
      </c>
      <c r="BP4" t="s">
        <v>115</v>
      </c>
      <c r="BQ4" t="s">
        <v>69</v>
      </c>
      <c r="BR4" t="s">
        <v>71</v>
      </c>
      <c r="BS4" t="s">
        <v>69</v>
      </c>
      <c r="BT4">
        <v>117.148</v>
      </c>
      <c r="BU4" t="s">
        <v>69</v>
      </c>
      <c r="BV4" t="s">
        <v>69</v>
      </c>
    </row>
    <row r="5" spans="1:74" x14ac:dyDescent="0.25">
      <c r="A5">
        <v>7</v>
      </c>
      <c r="B5" t="str">
        <f>HYPERLINK("http://www.ncbi.nlm.nih.gov/protein/XP_007963860.1","XP_007963860.1")</f>
        <v>XP_007963860.1</v>
      </c>
      <c r="C5">
        <v>62302</v>
      </c>
      <c r="D5" t="str">
        <f>HYPERLINK("http://www.ncbi.nlm.nih.gov/Taxonomy/Browser/wwwtax.cgi?mode=Info&amp;id=60711&amp;lvl=3&amp;lin=f&amp;keep=1&amp;srchmode=1&amp;unlock","60711")</f>
        <v>60711</v>
      </c>
      <c r="E5" t="s">
        <v>66</v>
      </c>
      <c r="F5" t="str">
        <f>HYPERLINK("http://www.ncbi.nlm.nih.gov/Taxonomy/Browser/wwwtax.cgi?mode=Info&amp;id=60711&amp;lvl=3&amp;lin=f&amp;keep=1&amp;srchmode=1&amp;unlock","Chlorocebus sabaeus")</f>
        <v>Chlorocebus sabaeus</v>
      </c>
      <c r="G5" t="s">
        <v>78</v>
      </c>
      <c r="H5" t="str">
        <f>HYPERLINK("http://www.ncbi.nlm.nih.gov/protein/XP_007963860.1","signal transducer and activator of transcription 1-alpha/beta")</f>
        <v>signal transducer and activator of transcription 1-alpha/beta</v>
      </c>
      <c r="I5" t="s">
        <v>268</v>
      </c>
      <c r="J5" t="s">
        <v>153</v>
      </c>
      <c r="K5">
        <v>584</v>
      </c>
      <c r="L5" t="s">
        <v>76</v>
      </c>
      <c r="M5" t="s">
        <v>69</v>
      </c>
      <c r="N5" t="s">
        <v>75</v>
      </c>
      <c r="O5" t="s">
        <v>69</v>
      </c>
      <c r="P5">
        <v>146.18899999999999</v>
      </c>
      <c r="Q5" t="s">
        <v>69</v>
      </c>
      <c r="R5" t="s">
        <v>69</v>
      </c>
      <c r="S5">
        <v>585</v>
      </c>
      <c r="T5" t="s">
        <v>119</v>
      </c>
      <c r="U5" t="s">
        <v>69</v>
      </c>
      <c r="V5" t="s">
        <v>120</v>
      </c>
      <c r="W5" t="s">
        <v>69</v>
      </c>
      <c r="X5">
        <v>147.131</v>
      </c>
      <c r="Y5" t="s">
        <v>69</v>
      </c>
      <c r="Z5" t="s">
        <v>69</v>
      </c>
      <c r="AA5">
        <v>588</v>
      </c>
      <c r="AB5" t="s">
        <v>74</v>
      </c>
      <c r="AC5" t="s">
        <v>69</v>
      </c>
      <c r="AD5" t="s">
        <v>75</v>
      </c>
      <c r="AE5" t="s">
        <v>69</v>
      </c>
      <c r="AF5">
        <v>174.203</v>
      </c>
      <c r="AG5" t="s">
        <v>69</v>
      </c>
      <c r="AH5" t="s">
        <v>69</v>
      </c>
      <c r="AI5">
        <v>616</v>
      </c>
      <c r="AJ5" t="s">
        <v>250</v>
      </c>
      <c r="AK5" t="s">
        <v>69</v>
      </c>
      <c r="AL5" t="s">
        <v>152</v>
      </c>
      <c r="AM5" t="s">
        <v>69</v>
      </c>
      <c r="AN5">
        <v>204.22800000000001</v>
      </c>
      <c r="AO5" t="s">
        <v>69</v>
      </c>
      <c r="AP5" t="s">
        <v>69</v>
      </c>
      <c r="AQ5">
        <v>627</v>
      </c>
      <c r="AR5" t="s">
        <v>69</v>
      </c>
      <c r="AS5" t="s">
        <v>153</v>
      </c>
      <c r="AT5" t="s">
        <v>152</v>
      </c>
      <c r="AU5" t="s">
        <v>153</v>
      </c>
      <c r="AV5">
        <v>181.191</v>
      </c>
      <c r="AW5" t="s">
        <v>153</v>
      </c>
      <c r="AX5" t="s">
        <v>153</v>
      </c>
      <c r="AY5">
        <v>633</v>
      </c>
      <c r="AZ5" t="s">
        <v>146</v>
      </c>
      <c r="BA5" t="s">
        <v>69</v>
      </c>
      <c r="BB5" t="s">
        <v>71</v>
      </c>
      <c r="BC5" t="s">
        <v>69</v>
      </c>
      <c r="BD5">
        <v>115.13200000000001</v>
      </c>
      <c r="BE5" t="s">
        <v>69</v>
      </c>
      <c r="BF5" t="s">
        <v>69</v>
      </c>
      <c r="BG5">
        <v>634</v>
      </c>
      <c r="BH5" t="s">
        <v>69</v>
      </c>
      <c r="BI5" t="s">
        <v>69</v>
      </c>
      <c r="BJ5" t="s">
        <v>152</v>
      </c>
      <c r="BK5" t="s">
        <v>69</v>
      </c>
      <c r="BL5">
        <v>181.191</v>
      </c>
      <c r="BM5" t="s">
        <v>69</v>
      </c>
      <c r="BN5" t="s">
        <v>69</v>
      </c>
      <c r="BO5">
        <v>653</v>
      </c>
      <c r="BP5" t="s">
        <v>115</v>
      </c>
      <c r="BQ5" t="s">
        <v>69</v>
      </c>
      <c r="BR5" t="s">
        <v>71</v>
      </c>
      <c r="BS5" t="s">
        <v>69</v>
      </c>
      <c r="BT5">
        <v>117.148</v>
      </c>
      <c r="BU5" t="s">
        <v>69</v>
      </c>
      <c r="BV5" t="s">
        <v>69</v>
      </c>
    </row>
    <row r="6" spans="1:74" x14ac:dyDescent="0.25">
      <c r="A6">
        <v>7</v>
      </c>
      <c r="B6" t="str">
        <f>HYPERLINK("http://www.ncbi.nlm.nih.gov/protein/XP_003907787.1","XP_003907787.1")</f>
        <v>XP_003907787.1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HYPERLINK("http://www.ncbi.nlm.nih.gov/protein/XP_003907787.1","signal transducer and activator of transcription 1-alpha/beta")</f>
        <v>signal transducer and activator of transcription 1-alpha/beta</v>
      </c>
      <c r="I6" t="s">
        <v>268</v>
      </c>
      <c r="J6" t="s">
        <v>153</v>
      </c>
      <c r="K6">
        <v>584</v>
      </c>
      <c r="L6" t="s">
        <v>76</v>
      </c>
      <c r="M6" t="s">
        <v>69</v>
      </c>
      <c r="N6" t="s">
        <v>75</v>
      </c>
      <c r="O6" t="s">
        <v>69</v>
      </c>
      <c r="P6">
        <v>146.18899999999999</v>
      </c>
      <c r="Q6" t="s">
        <v>69</v>
      </c>
      <c r="R6" t="s">
        <v>69</v>
      </c>
      <c r="S6">
        <v>585</v>
      </c>
      <c r="T6" t="s">
        <v>119</v>
      </c>
      <c r="U6" t="s">
        <v>69</v>
      </c>
      <c r="V6" t="s">
        <v>120</v>
      </c>
      <c r="W6" t="s">
        <v>69</v>
      </c>
      <c r="X6">
        <v>147.131</v>
      </c>
      <c r="Y6" t="s">
        <v>69</v>
      </c>
      <c r="Z6" t="s">
        <v>69</v>
      </c>
      <c r="AA6">
        <v>588</v>
      </c>
      <c r="AB6" t="s">
        <v>74</v>
      </c>
      <c r="AC6" t="s">
        <v>69</v>
      </c>
      <c r="AD6" t="s">
        <v>75</v>
      </c>
      <c r="AE6" t="s">
        <v>69</v>
      </c>
      <c r="AF6">
        <v>174.203</v>
      </c>
      <c r="AG6" t="s">
        <v>69</v>
      </c>
      <c r="AH6" t="s">
        <v>69</v>
      </c>
      <c r="AI6">
        <v>616</v>
      </c>
      <c r="AJ6" t="s">
        <v>250</v>
      </c>
      <c r="AK6" t="s">
        <v>69</v>
      </c>
      <c r="AL6" t="s">
        <v>152</v>
      </c>
      <c r="AM6" t="s">
        <v>69</v>
      </c>
      <c r="AN6">
        <v>204.22800000000001</v>
      </c>
      <c r="AO6" t="s">
        <v>69</v>
      </c>
      <c r="AP6" t="s">
        <v>69</v>
      </c>
      <c r="AQ6">
        <v>627</v>
      </c>
      <c r="AR6" t="s">
        <v>69</v>
      </c>
      <c r="AS6" t="s">
        <v>153</v>
      </c>
      <c r="AT6" t="s">
        <v>152</v>
      </c>
      <c r="AU6" t="s">
        <v>153</v>
      </c>
      <c r="AV6">
        <v>181.191</v>
      </c>
      <c r="AW6" t="s">
        <v>153</v>
      </c>
      <c r="AX6" t="s">
        <v>153</v>
      </c>
      <c r="AY6">
        <v>633</v>
      </c>
      <c r="AZ6" t="s">
        <v>146</v>
      </c>
      <c r="BA6" t="s">
        <v>69</v>
      </c>
      <c r="BB6" t="s">
        <v>71</v>
      </c>
      <c r="BC6" t="s">
        <v>69</v>
      </c>
      <c r="BD6">
        <v>115.13200000000001</v>
      </c>
      <c r="BE6" t="s">
        <v>69</v>
      </c>
      <c r="BF6" t="s">
        <v>69</v>
      </c>
      <c r="BG6">
        <v>634</v>
      </c>
      <c r="BH6" t="s">
        <v>69</v>
      </c>
      <c r="BI6" t="s">
        <v>69</v>
      </c>
      <c r="BJ6" t="s">
        <v>152</v>
      </c>
      <c r="BK6" t="s">
        <v>69</v>
      </c>
      <c r="BL6">
        <v>181.191</v>
      </c>
      <c r="BM6" t="s">
        <v>69</v>
      </c>
      <c r="BN6" t="s">
        <v>69</v>
      </c>
      <c r="BO6">
        <v>653</v>
      </c>
      <c r="BP6" t="s">
        <v>115</v>
      </c>
      <c r="BQ6" t="s">
        <v>69</v>
      </c>
      <c r="BR6" t="s">
        <v>71</v>
      </c>
      <c r="BS6" t="s">
        <v>69</v>
      </c>
      <c r="BT6">
        <v>117.148</v>
      </c>
      <c r="BU6" t="s">
        <v>69</v>
      </c>
      <c r="BV6" t="s">
        <v>69</v>
      </c>
    </row>
    <row r="7" spans="1:74" x14ac:dyDescent="0.25">
      <c r="A7">
        <v>7</v>
      </c>
      <c r="B7" t="str">
        <f>HYPERLINK("http://www.ncbi.nlm.nih.gov/protein/XP_002749614.1","XP_002749614.1")</f>
        <v>XP_002749614.1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HYPERLINK("http://www.ncbi.nlm.nih.gov/protein/XP_002749614.1","signal transducer and activator of transcription 1-alpha/beta")</f>
        <v>signal transducer and activator of transcription 1-alpha/beta</v>
      </c>
      <c r="I7" t="s">
        <v>268</v>
      </c>
      <c r="J7" t="s">
        <v>153</v>
      </c>
      <c r="K7">
        <v>584</v>
      </c>
      <c r="L7" t="s">
        <v>76</v>
      </c>
      <c r="M7" t="s">
        <v>69</v>
      </c>
      <c r="N7" t="s">
        <v>75</v>
      </c>
      <c r="O7" t="s">
        <v>69</v>
      </c>
      <c r="P7">
        <v>146.18899999999999</v>
      </c>
      <c r="Q7" t="s">
        <v>69</v>
      </c>
      <c r="R7" t="s">
        <v>69</v>
      </c>
      <c r="S7">
        <v>585</v>
      </c>
      <c r="T7" t="s">
        <v>119</v>
      </c>
      <c r="U7" t="s">
        <v>69</v>
      </c>
      <c r="V7" t="s">
        <v>120</v>
      </c>
      <c r="W7" t="s">
        <v>69</v>
      </c>
      <c r="X7">
        <v>147.131</v>
      </c>
      <c r="Y7" t="s">
        <v>69</v>
      </c>
      <c r="Z7" t="s">
        <v>69</v>
      </c>
      <c r="AA7">
        <v>588</v>
      </c>
      <c r="AB7" t="s">
        <v>74</v>
      </c>
      <c r="AC7" t="s">
        <v>69</v>
      </c>
      <c r="AD7" t="s">
        <v>75</v>
      </c>
      <c r="AE7" t="s">
        <v>69</v>
      </c>
      <c r="AF7">
        <v>174.203</v>
      </c>
      <c r="AG7" t="s">
        <v>69</v>
      </c>
      <c r="AH7" t="s">
        <v>69</v>
      </c>
      <c r="AI7">
        <v>616</v>
      </c>
      <c r="AJ7" t="s">
        <v>250</v>
      </c>
      <c r="AK7" t="s">
        <v>69</v>
      </c>
      <c r="AL7" t="s">
        <v>152</v>
      </c>
      <c r="AM7" t="s">
        <v>69</v>
      </c>
      <c r="AN7">
        <v>204.22800000000001</v>
      </c>
      <c r="AO7" t="s">
        <v>69</v>
      </c>
      <c r="AP7" t="s">
        <v>69</v>
      </c>
      <c r="AQ7">
        <v>627</v>
      </c>
      <c r="AR7" t="s">
        <v>69</v>
      </c>
      <c r="AS7" t="s">
        <v>153</v>
      </c>
      <c r="AT7" t="s">
        <v>152</v>
      </c>
      <c r="AU7" t="s">
        <v>153</v>
      </c>
      <c r="AV7">
        <v>181.191</v>
      </c>
      <c r="AW7" t="s">
        <v>153</v>
      </c>
      <c r="AX7" t="s">
        <v>153</v>
      </c>
      <c r="AY7">
        <v>633</v>
      </c>
      <c r="AZ7" t="s">
        <v>146</v>
      </c>
      <c r="BA7" t="s">
        <v>69</v>
      </c>
      <c r="BB7" t="s">
        <v>71</v>
      </c>
      <c r="BC7" t="s">
        <v>69</v>
      </c>
      <c r="BD7">
        <v>115.13200000000001</v>
      </c>
      <c r="BE7" t="s">
        <v>69</v>
      </c>
      <c r="BF7" t="s">
        <v>69</v>
      </c>
      <c r="BG7">
        <v>634</v>
      </c>
      <c r="BH7" t="s">
        <v>69</v>
      </c>
      <c r="BI7" t="s">
        <v>69</v>
      </c>
      <c r="BJ7" t="s">
        <v>152</v>
      </c>
      <c r="BK7" t="s">
        <v>69</v>
      </c>
      <c r="BL7">
        <v>181.191</v>
      </c>
      <c r="BM7" t="s">
        <v>69</v>
      </c>
      <c r="BN7" t="s">
        <v>69</v>
      </c>
      <c r="BO7">
        <v>653</v>
      </c>
      <c r="BP7" t="s">
        <v>115</v>
      </c>
      <c r="BQ7" t="s">
        <v>69</v>
      </c>
      <c r="BR7" t="s">
        <v>71</v>
      </c>
      <c r="BS7" t="s">
        <v>69</v>
      </c>
      <c r="BT7">
        <v>117.148</v>
      </c>
      <c r="BU7" t="s">
        <v>69</v>
      </c>
      <c r="BV7" t="s">
        <v>69</v>
      </c>
    </row>
    <row r="8" spans="1:74" x14ac:dyDescent="0.25">
      <c r="A8">
        <v>7</v>
      </c>
      <c r="B8" t="str">
        <f>HYPERLINK("http://www.ncbi.nlm.nih.gov/protein/XP_006935505.1","XP_006935505.1")</f>
        <v>XP_006935505.1</v>
      </c>
      <c r="C8">
        <v>74287</v>
      </c>
      <c r="D8" t="str">
        <f>HYPERLINK("http://www.ncbi.nlm.nih.gov/Taxonomy/Browser/wwwtax.cgi?mode=Info&amp;id=9685&amp;lvl=3&amp;lin=f&amp;keep=1&amp;srchmode=1&amp;unlock","9685")</f>
        <v>9685</v>
      </c>
      <c r="E8" t="s">
        <v>66</v>
      </c>
      <c r="F8" t="str">
        <f>HYPERLINK("http://www.ncbi.nlm.nih.gov/Taxonomy/Browser/wwwtax.cgi?mode=Info&amp;id=9685&amp;lvl=3&amp;lin=f&amp;keep=1&amp;srchmode=1&amp;unlock","Felis catus")</f>
        <v>Felis catus</v>
      </c>
      <c r="G8" t="s">
        <v>86</v>
      </c>
      <c r="H8" t="str">
        <f>HYPERLINK("http://www.ncbi.nlm.nih.gov/protein/XP_006935505.1","signal transducer and activator of transcription 1-alpha/beta")</f>
        <v>signal transducer and activator of transcription 1-alpha/beta</v>
      </c>
      <c r="I8" t="s">
        <v>268</v>
      </c>
      <c r="J8" t="s">
        <v>153</v>
      </c>
      <c r="K8">
        <v>584</v>
      </c>
      <c r="L8" t="s">
        <v>76</v>
      </c>
      <c r="M8" t="s">
        <v>69</v>
      </c>
      <c r="N8" t="s">
        <v>75</v>
      </c>
      <c r="O8" t="s">
        <v>69</v>
      </c>
      <c r="P8">
        <v>146.18899999999999</v>
      </c>
      <c r="Q8" t="s">
        <v>69</v>
      </c>
      <c r="R8" t="s">
        <v>69</v>
      </c>
      <c r="S8">
        <v>585</v>
      </c>
      <c r="T8" t="s">
        <v>119</v>
      </c>
      <c r="U8" t="s">
        <v>69</v>
      </c>
      <c r="V8" t="s">
        <v>120</v>
      </c>
      <c r="W8" t="s">
        <v>69</v>
      </c>
      <c r="X8">
        <v>147.131</v>
      </c>
      <c r="Y8" t="s">
        <v>69</v>
      </c>
      <c r="Z8" t="s">
        <v>69</v>
      </c>
      <c r="AA8">
        <v>588</v>
      </c>
      <c r="AB8" t="s">
        <v>74</v>
      </c>
      <c r="AC8" t="s">
        <v>69</v>
      </c>
      <c r="AD8" t="s">
        <v>75</v>
      </c>
      <c r="AE8" t="s">
        <v>69</v>
      </c>
      <c r="AF8">
        <v>174.203</v>
      </c>
      <c r="AG8" t="s">
        <v>69</v>
      </c>
      <c r="AH8" t="s">
        <v>69</v>
      </c>
      <c r="AI8">
        <v>616</v>
      </c>
      <c r="AJ8" t="s">
        <v>250</v>
      </c>
      <c r="AK8" t="s">
        <v>69</v>
      </c>
      <c r="AL8" t="s">
        <v>152</v>
      </c>
      <c r="AM8" t="s">
        <v>69</v>
      </c>
      <c r="AN8">
        <v>204.22800000000001</v>
      </c>
      <c r="AO8" t="s">
        <v>69</v>
      </c>
      <c r="AP8" t="s">
        <v>69</v>
      </c>
      <c r="AQ8">
        <v>627</v>
      </c>
      <c r="AR8" t="s">
        <v>69</v>
      </c>
      <c r="AS8" t="s">
        <v>153</v>
      </c>
      <c r="AT8" t="s">
        <v>152</v>
      </c>
      <c r="AU8" t="s">
        <v>153</v>
      </c>
      <c r="AV8">
        <v>181.191</v>
      </c>
      <c r="AW8" t="s">
        <v>153</v>
      </c>
      <c r="AX8" t="s">
        <v>153</v>
      </c>
      <c r="AY8">
        <v>633</v>
      </c>
      <c r="AZ8" t="s">
        <v>146</v>
      </c>
      <c r="BA8" t="s">
        <v>69</v>
      </c>
      <c r="BB8" t="s">
        <v>71</v>
      </c>
      <c r="BC8" t="s">
        <v>69</v>
      </c>
      <c r="BD8">
        <v>115.13200000000001</v>
      </c>
      <c r="BE8" t="s">
        <v>69</v>
      </c>
      <c r="BF8" t="s">
        <v>69</v>
      </c>
      <c r="BG8">
        <v>634</v>
      </c>
      <c r="BH8" t="s">
        <v>69</v>
      </c>
      <c r="BI8" t="s">
        <v>69</v>
      </c>
      <c r="BJ8" t="s">
        <v>152</v>
      </c>
      <c r="BK8" t="s">
        <v>69</v>
      </c>
      <c r="BL8">
        <v>181.191</v>
      </c>
      <c r="BM8" t="s">
        <v>69</v>
      </c>
      <c r="BN8" t="s">
        <v>69</v>
      </c>
      <c r="BO8">
        <v>653</v>
      </c>
      <c r="BP8" t="s">
        <v>115</v>
      </c>
      <c r="BQ8" t="s">
        <v>69</v>
      </c>
      <c r="BR8" t="s">
        <v>71</v>
      </c>
      <c r="BS8" t="s">
        <v>69</v>
      </c>
      <c r="BT8">
        <v>117.148</v>
      </c>
      <c r="BU8" t="s">
        <v>69</v>
      </c>
      <c r="BV8" t="s">
        <v>69</v>
      </c>
    </row>
    <row r="9" spans="1:74" x14ac:dyDescent="0.25">
      <c r="A9">
        <v>7</v>
      </c>
      <c r="B9" t="str">
        <f>HYPERLINK("http://www.ncbi.nlm.nih.gov/protein/XP_042805437.1","XP_042805437.1")</f>
        <v>XP_042805437.1</v>
      </c>
      <c r="C9">
        <v>53677</v>
      </c>
      <c r="D9" t="str">
        <f>HYPERLINK("http://www.ncbi.nlm.nih.gov/Taxonomy/Browser/wwwtax.cgi?mode=Info&amp;id=9689&amp;lvl=3&amp;lin=f&amp;keep=1&amp;srchmode=1&amp;unlock","9689")</f>
        <v>9689</v>
      </c>
      <c r="E9" t="s">
        <v>66</v>
      </c>
      <c r="F9" t="str">
        <f>HYPERLINK("http://www.ncbi.nlm.nih.gov/Taxonomy/Browser/wwwtax.cgi?mode=Info&amp;id=9689&amp;lvl=3&amp;lin=f&amp;keep=1&amp;srchmode=1&amp;unlock","Panthera leo")</f>
        <v>Panthera leo</v>
      </c>
      <c r="G9" t="s">
        <v>90</v>
      </c>
      <c r="H9" t="str">
        <f>HYPERLINK("http://www.ncbi.nlm.nih.gov/protein/XP_042805437.1","signal transducer and activator of transcription 1-alpha/beta")</f>
        <v>signal transducer and activator of transcription 1-alpha/beta</v>
      </c>
      <c r="I9" t="s">
        <v>268</v>
      </c>
      <c r="J9" t="s">
        <v>153</v>
      </c>
      <c r="K9">
        <v>584</v>
      </c>
      <c r="L9" t="s">
        <v>76</v>
      </c>
      <c r="M9" t="s">
        <v>69</v>
      </c>
      <c r="N9" t="s">
        <v>75</v>
      </c>
      <c r="O9" t="s">
        <v>69</v>
      </c>
      <c r="P9">
        <v>146.18899999999999</v>
      </c>
      <c r="Q9" t="s">
        <v>69</v>
      </c>
      <c r="R9" t="s">
        <v>69</v>
      </c>
      <c r="S9">
        <v>585</v>
      </c>
      <c r="T9" t="s">
        <v>119</v>
      </c>
      <c r="U9" t="s">
        <v>69</v>
      </c>
      <c r="V9" t="s">
        <v>120</v>
      </c>
      <c r="W9" t="s">
        <v>69</v>
      </c>
      <c r="X9">
        <v>147.131</v>
      </c>
      <c r="Y9" t="s">
        <v>69</v>
      </c>
      <c r="Z9" t="s">
        <v>69</v>
      </c>
      <c r="AA9">
        <v>588</v>
      </c>
      <c r="AB9" t="s">
        <v>74</v>
      </c>
      <c r="AC9" t="s">
        <v>69</v>
      </c>
      <c r="AD9" t="s">
        <v>75</v>
      </c>
      <c r="AE9" t="s">
        <v>69</v>
      </c>
      <c r="AF9">
        <v>174.203</v>
      </c>
      <c r="AG9" t="s">
        <v>69</v>
      </c>
      <c r="AH9" t="s">
        <v>69</v>
      </c>
      <c r="AI9">
        <v>616</v>
      </c>
      <c r="AJ9" t="s">
        <v>250</v>
      </c>
      <c r="AK9" t="s">
        <v>69</v>
      </c>
      <c r="AL9" t="s">
        <v>152</v>
      </c>
      <c r="AM9" t="s">
        <v>69</v>
      </c>
      <c r="AN9">
        <v>204.22800000000001</v>
      </c>
      <c r="AO9" t="s">
        <v>69</v>
      </c>
      <c r="AP9" t="s">
        <v>69</v>
      </c>
      <c r="AQ9">
        <v>627</v>
      </c>
      <c r="AR9" t="s">
        <v>69</v>
      </c>
      <c r="AS9" t="s">
        <v>153</v>
      </c>
      <c r="AT9" t="s">
        <v>152</v>
      </c>
      <c r="AU9" t="s">
        <v>153</v>
      </c>
      <c r="AV9">
        <v>181.191</v>
      </c>
      <c r="AW9" t="s">
        <v>153</v>
      </c>
      <c r="AX9" t="s">
        <v>153</v>
      </c>
      <c r="AY9">
        <v>633</v>
      </c>
      <c r="AZ9" t="s">
        <v>146</v>
      </c>
      <c r="BA9" t="s">
        <v>69</v>
      </c>
      <c r="BB9" t="s">
        <v>71</v>
      </c>
      <c r="BC9" t="s">
        <v>69</v>
      </c>
      <c r="BD9">
        <v>115.13200000000001</v>
      </c>
      <c r="BE9" t="s">
        <v>69</v>
      </c>
      <c r="BF9" t="s">
        <v>69</v>
      </c>
      <c r="BG9">
        <v>634</v>
      </c>
      <c r="BH9" t="s">
        <v>69</v>
      </c>
      <c r="BI9" t="s">
        <v>69</v>
      </c>
      <c r="BJ9" t="s">
        <v>152</v>
      </c>
      <c r="BK9" t="s">
        <v>69</v>
      </c>
      <c r="BL9">
        <v>181.191</v>
      </c>
      <c r="BM9" t="s">
        <v>69</v>
      </c>
      <c r="BN9" t="s">
        <v>69</v>
      </c>
      <c r="BO9">
        <v>653</v>
      </c>
      <c r="BP9" t="s">
        <v>115</v>
      </c>
      <c r="BQ9" t="s">
        <v>69</v>
      </c>
      <c r="BR9" t="s">
        <v>71</v>
      </c>
      <c r="BS9" t="s">
        <v>69</v>
      </c>
      <c r="BT9">
        <v>117.148</v>
      </c>
      <c r="BU9" t="s">
        <v>69</v>
      </c>
      <c r="BV9" t="s">
        <v>69</v>
      </c>
    </row>
    <row r="10" spans="1:74" x14ac:dyDescent="0.25">
      <c r="A10">
        <v>7</v>
      </c>
      <c r="B10" t="str">
        <f>HYPERLINK("http://www.ncbi.nlm.nih.gov/protein/XP_007094755.1","XP_007094755.1")</f>
        <v>XP_007094755.1</v>
      </c>
      <c r="C10">
        <v>56089</v>
      </c>
      <c r="D10" t="str">
        <f>HYPERLINK("http://www.ncbi.nlm.nih.gov/Taxonomy/Browser/wwwtax.cgi?mode=Info&amp;id=9694&amp;lvl=3&amp;lin=f&amp;keep=1&amp;srchmode=1&amp;unlock","9694")</f>
        <v>9694</v>
      </c>
      <c r="E10" t="s">
        <v>66</v>
      </c>
      <c r="F10" t="str">
        <f>HYPERLINK("http://www.ncbi.nlm.nih.gov/Taxonomy/Browser/wwwtax.cgi?mode=Info&amp;id=9694&amp;lvl=3&amp;lin=f&amp;keep=1&amp;srchmode=1&amp;unlock","Panthera tigris")</f>
        <v>Panthera tigris</v>
      </c>
      <c r="G10" t="s">
        <v>89</v>
      </c>
      <c r="H10" t="str">
        <f>HYPERLINK("http://www.ncbi.nlm.nih.gov/protein/XP_007094755.1","signal transducer and activator of transcription 1-alpha/beta")</f>
        <v>signal transducer and activator of transcription 1-alpha/beta</v>
      </c>
      <c r="I10" t="s">
        <v>268</v>
      </c>
      <c r="J10" t="s">
        <v>153</v>
      </c>
      <c r="K10">
        <v>584</v>
      </c>
      <c r="L10" t="s">
        <v>76</v>
      </c>
      <c r="M10" t="s">
        <v>69</v>
      </c>
      <c r="N10" t="s">
        <v>75</v>
      </c>
      <c r="O10" t="s">
        <v>69</v>
      </c>
      <c r="P10">
        <v>146.18899999999999</v>
      </c>
      <c r="Q10" t="s">
        <v>69</v>
      </c>
      <c r="R10" t="s">
        <v>69</v>
      </c>
      <c r="S10">
        <v>585</v>
      </c>
      <c r="T10" t="s">
        <v>119</v>
      </c>
      <c r="U10" t="s">
        <v>69</v>
      </c>
      <c r="V10" t="s">
        <v>120</v>
      </c>
      <c r="W10" t="s">
        <v>69</v>
      </c>
      <c r="X10">
        <v>147.131</v>
      </c>
      <c r="Y10" t="s">
        <v>69</v>
      </c>
      <c r="Z10" t="s">
        <v>69</v>
      </c>
      <c r="AA10">
        <v>588</v>
      </c>
      <c r="AB10" t="s">
        <v>74</v>
      </c>
      <c r="AC10" t="s">
        <v>69</v>
      </c>
      <c r="AD10" t="s">
        <v>75</v>
      </c>
      <c r="AE10" t="s">
        <v>69</v>
      </c>
      <c r="AF10">
        <v>174.203</v>
      </c>
      <c r="AG10" t="s">
        <v>69</v>
      </c>
      <c r="AH10" t="s">
        <v>69</v>
      </c>
      <c r="AI10">
        <v>616</v>
      </c>
      <c r="AJ10" t="s">
        <v>250</v>
      </c>
      <c r="AK10" t="s">
        <v>69</v>
      </c>
      <c r="AL10" t="s">
        <v>152</v>
      </c>
      <c r="AM10" t="s">
        <v>69</v>
      </c>
      <c r="AN10">
        <v>204.22800000000001</v>
      </c>
      <c r="AO10" t="s">
        <v>69</v>
      </c>
      <c r="AP10" t="s">
        <v>69</v>
      </c>
      <c r="AQ10">
        <v>627</v>
      </c>
      <c r="AR10" t="s">
        <v>69</v>
      </c>
      <c r="AS10" t="s">
        <v>153</v>
      </c>
      <c r="AT10" t="s">
        <v>152</v>
      </c>
      <c r="AU10" t="s">
        <v>153</v>
      </c>
      <c r="AV10">
        <v>181.191</v>
      </c>
      <c r="AW10" t="s">
        <v>153</v>
      </c>
      <c r="AX10" t="s">
        <v>153</v>
      </c>
      <c r="AY10">
        <v>633</v>
      </c>
      <c r="AZ10" t="s">
        <v>146</v>
      </c>
      <c r="BA10" t="s">
        <v>69</v>
      </c>
      <c r="BB10" t="s">
        <v>71</v>
      </c>
      <c r="BC10" t="s">
        <v>69</v>
      </c>
      <c r="BD10">
        <v>115.13200000000001</v>
      </c>
      <c r="BE10" t="s">
        <v>69</v>
      </c>
      <c r="BF10" t="s">
        <v>69</v>
      </c>
      <c r="BG10">
        <v>634</v>
      </c>
      <c r="BH10" t="s">
        <v>69</v>
      </c>
      <c r="BI10" t="s">
        <v>69</v>
      </c>
      <c r="BJ10" t="s">
        <v>152</v>
      </c>
      <c r="BK10" t="s">
        <v>69</v>
      </c>
      <c r="BL10">
        <v>181.191</v>
      </c>
      <c r="BM10" t="s">
        <v>69</v>
      </c>
      <c r="BN10" t="s">
        <v>69</v>
      </c>
      <c r="BO10">
        <v>653</v>
      </c>
      <c r="BP10" t="s">
        <v>115</v>
      </c>
      <c r="BQ10" t="s">
        <v>69</v>
      </c>
      <c r="BR10" t="s">
        <v>71</v>
      </c>
      <c r="BS10" t="s">
        <v>69</v>
      </c>
      <c r="BT10">
        <v>117.148</v>
      </c>
      <c r="BU10" t="s">
        <v>69</v>
      </c>
      <c r="BV10" t="s">
        <v>69</v>
      </c>
    </row>
    <row r="11" spans="1:74" x14ac:dyDescent="0.25">
      <c r="A11">
        <v>7</v>
      </c>
      <c r="B11" t="str">
        <f>HYPERLINK("http://www.ncbi.nlm.nih.gov/protein/XP_025788676.1","XP_025788676.1")</f>
        <v>XP_025788676.1</v>
      </c>
      <c r="C11">
        <v>23623</v>
      </c>
      <c r="D11" t="str">
        <f>HYPERLINK("http://www.ncbi.nlm.nih.gov/Taxonomy/Browser/wwwtax.cgi?mode=Info&amp;id=9696&amp;lvl=3&amp;lin=f&amp;keep=1&amp;srchmode=1&amp;unlock","9696")</f>
        <v>9696</v>
      </c>
      <c r="E11" t="s">
        <v>66</v>
      </c>
      <c r="F11" t="str">
        <f>HYPERLINK("http://www.ncbi.nlm.nih.gov/Taxonomy/Browser/wwwtax.cgi?mode=Info&amp;id=9696&amp;lvl=3&amp;lin=f&amp;keep=1&amp;srchmode=1&amp;unlock","Puma concolor")</f>
        <v>Puma concolor</v>
      </c>
      <c r="G11" t="s">
        <v>91</v>
      </c>
      <c r="H11" t="str">
        <f>HYPERLINK("http://www.ncbi.nlm.nih.gov/protein/XP_025788676.1","signal transducer and activator of transcription 1-alpha/beta isoform X1")</f>
        <v>signal transducer and activator of transcription 1-alpha/beta isoform X1</v>
      </c>
      <c r="I11" t="s">
        <v>268</v>
      </c>
      <c r="J11" t="s">
        <v>153</v>
      </c>
      <c r="K11">
        <v>584</v>
      </c>
      <c r="L11" t="s">
        <v>76</v>
      </c>
      <c r="M11" t="s">
        <v>69</v>
      </c>
      <c r="N11" t="s">
        <v>75</v>
      </c>
      <c r="O11" t="s">
        <v>69</v>
      </c>
      <c r="P11">
        <v>146.18899999999999</v>
      </c>
      <c r="Q11" t="s">
        <v>69</v>
      </c>
      <c r="R11" t="s">
        <v>69</v>
      </c>
      <c r="S11">
        <v>585</v>
      </c>
      <c r="T11" t="s">
        <v>119</v>
      </c>
      <c r="U11" t="s">
        <v>69</v>
      </c>
      <c r="V11" t="s">
        <v>120</v>
      </c>
      <c r="W11" t="s">
        <v>69</v>
      </c>
      <c r="X11">
        <v>147.131</v>
      </c>
      <c r="Y11" t="s">
        <v>69</v>
      </c>
      <c r="Z11" t="s">
        <v>69</v>
      </c>
      <c r="AA11">
        <v>588</v>
      </c>
      <c r="AB11" t="s">
        <v>74</v>
      </c>
      <c r="AC11" t="s">
        <v>69</v>
      </c>
      <c r="AD11" t="s">
        <v>75</v>
      </c>
      <c r="AE11" t="s">
        <v>69</v>
      </c>
      <c r="AF11">
        <v>174.203</v>
      </c>
      <c r="AG11" t="s">
        <v>69</v>
      </c>
      <c r="AH11" t="s">
        <v>69</v>
      </c>
      <c r="AI11">
        <v>616</v>
      </c>
      <c r="AJ11" t="s">
        <v>250</v>
      </c>
      <c r="AK11" t="s">
        <v>69</v>
      </c>
      <c r="AL11" t="s">
        <v>152</v>
      </c>
      <c r="AM11" t="s">
        <v>69</v>
      </c>
      <c r="AN11">
        <v>204.22800000000001</v>
      </c>
      <c r="AO11" t="s">
        <v>69</v>
      </c>
      <c r="AP11" t="s">
        <v>69</v>
      </c>
      <c r="AQ11">
        <v>627</v>
      </c>
      <c r="AR11" t="s">
        <v>69</v>
      </c>
      <c r="AS11" t="s">
        <v>153</v>
      </c>
      <c r="AT11" t="s">
        <v>152</v>
      </c>
      <c r="AU11" t="s">
        <v>153</v>
      </c>
      <c r="AV11">
        <v>181.191</v>
      </c>
      <c r="AW11" t="s">
        <v>153</v>
      </c>
      <c r="AX11" t="s">
        <v>153</v>
      </c>
      <c r="AY11">
        <v>633</v>
      </c>
      <c r="AZ11" t="s">
        <v>146</v>
      </c>
      <c r="BA11" t="s">
        <v>69</v>
      </c>
      <c r="BB11" t="s">
        <v>71</v>
      </c>
      <c r="BC11" t="s">
        <v>69</v>
      </c>
      <c r="BD11">
        <v>115.13200000000001</v>
      </c>
      <c r="BE11" t="s">
        <v>69</v>
      </c>
      <c r="BF11" t="s">
        <v>69</v>
      </c>
      <c r="BG11">
        <v>634</v>
      </c>
      <c r="BH11" t="s">
        <v>69</v>
      </c>
      <c r="BI11" t="s">
        <v>69</v>
      </c>
      <c r="BJ11" t="s">
        <v>152</v>
      </c>
      <c r="BK11" t="s">
        <v>69</v>
      </c>
      <c r="BL11">
        <v>181.191</v>
      </c>
      <c r="BM11" t="s">
        <v>69</v>
      </c>
      <c r="BN11" t="s">
        <v>69</v>
      </c>
      <c r="BO11">
        <v>653</v>
      </c>
      <c r="BP11" t="s">
        <v>115</v>
      </c>
      <c r="BQ11" t="s">
        <v>69</v>
      </c>
      <c r="BR11" t="s">
        <v>71</v>
      </c>
      <c r="BS11" t="s">
        <v>69</v>
      </c>
      <c r="BT11">
        <v>117.148</v>
      </c>
      <c r="BU11" t="s">
        <v>69</v>
      </c>
      <c r="BV11" t="s">
        <v>69</v>
      </c>
    </row>
    <row r="12" spans="1:74" x14ac:dyDescent="0.25">
      <c r="A12">
        <v>7</v>
      </c>
      <c r="B12" t="str">
        <f>HYPERLINK("http://www.ncbi.nlm.nih.gov/protein/XP_046940110.1","XP_046940110.1")</f>
        <v>XP_046940110.1</v>
      </c>
      <c r="C12">
        <v>38764</v>
      </c>
      <c r="D12" t="str">
        <f>HYPERLINK("http://www.ncbi.nlm.nih.gov/Taxonomy/Browser/wwwtax.cgi?mode=Info&amp;id=61384&amp;lvl=3&amp;lin=f&amp;keep=1&amp;srchmode=1&amp;unlock","61384")</f>
        <v>61384</v>
      </c>
      <c r="E12" t="s">
        <v>66</v>
      </c>
      <c r="F12" t="str">
        <f>HYPERLINK("http://www.ncbi.nlm.nih.gov/Taxonomy/Browser/wwwtax.cgi?mode=Info&amp;id=61384&amp;lvl=3&amp;lin=f&amp;keep=1&amp;srchmode=1&amp;unlock","Lynx rufus")</f>
        <v>Lynx rufus</v>
      </c>
      <c r="G12" t="s">
        <v>93</v>
      </c>
      <c r="H12" t="str">
        <f>HYPERLINK("http://www.ncbi.nlm.nih.gov/protein/XP_046940110.1","signal transducer and activator of transcription 1-alpha/beta")</f>
        <v>signal transducer and activator of transcription 1-alpha/beta</v>
      </c>
      <c r="I12" t="s">
        <v>268</v>
      </c>
      <c r="J12" t="s">
        <v>153</v>
      </c>
      <c r="K12">
        <v>584</v>
      </c>
      <c r="L12" t="s">
        <v>76</v>
      </c>
      <c r="M12" t="s">
        <v>69</v>
      </c>
      <c r="N12" t="s">
        <v>75</v>
      </c>
      <c r="O12" t="s">
        <v>69</v>
      </c>
      <c r="P12">
        <v>146.18899999999999</v>
      </c>
      <c r="Q12" t="s">
        <v>69</v>
      </c>
      <c r="R12" t="s">
        <v>69</v>
      </c>
      <c r="S12">
        <v>585</v>
      </c>
      <c r="T12" t="s">
        <v>119</v>
      </c>
      <c r="U12" t="s">
        <v>69</v>
      </c>
      <c r="V12" t="s">
        <v>120</v>
      </c>
      <c r="W12" t="s">
        <v>69</v>
      </c>
      <c r="X12">
        <v>147.131</v>
      </c>
      <c r="Y12" t="s">
        <v>69</v>
      </c>
      <c r="Z12" t="s">
        <v>69</v>
      </c>
      <c r="AA12">
        <v>588</v>
      </c>
      <c r="AB12" t="s">
        <v>74</v>
      </c>
      <c r="AC12" t="s">
        <v>69</v>
      </c>
      <c r="AD12" t="s">
        <v>75</v>
      </c>
      <c r="AE12" t="s">
        <v>69</v>
      </c>
      <c r="AF12">
        <v>174.203</v>
      </c>
      <c r="AG12" t="s">
        <v>69</v>
      </c>
      <c r="AH12" t="s">
        <v>69</v>
      </c>
      <c r="AI12">
        <v>616</v>
      </c>
      <c r="AJ12" t="s">
        <v>250</v>
      </c>
      <c r="AK12" t="s">
        <v>69</v>
      </c>
      <c r="AL12" t="s">
        <v>152</v>
      </c>
      <c r="AM12" t="s">
        <v>69</v>
      </c>
      <c r="AN12">
        <v>204.22800000000001</v>
      </c>
      <c r="AO12" t="s">
        <v>69</v>
      </c>
      <c r="AP12" t="s">
        <v>69</v>
      </c>
      <c r="AQ12">
        <v>627</v>
      </c>
      <c r="AR12" t="s">
        <v>69</v>
      </c>
      <c r="AS12" t="s">
        <v>153</v>
      </c>
      <c r="AT12" t="s">
        <v>152</v>
      </c>
      <c r="AU12" t="s">
        <v>153</v>
      </c>
      <c r="AV12">
        <v>181.191</v>
      </c>
      <c r="AW12" t="s">
        <v>153</v>
      </c>
      <c r="AX12" t="s">
        <v>153</v>
      </c>
      <c r="AY12">
        <v>633</v>
      </c>
      <c r="AZ12" t="s">
        <v>146</v>
      </c>
      <c r="BA12" t="s">
        <v>69</v>
      </c>
      <c r="BB12" t="s">
        <v>71</v>
      </c>
      <c r="BC12" t="s">
        <v>69</v>
      </c>
      <c r="BD12">
        <v>115.13200000000001</v>
      </c>
      <c r="BE12" t="s">
        <v>69</v>
      </c>
      <c r="BF12" t="s">
        <v>69</v>
      </c>
      <c r="BG12">
        <v>634</v>
      </c>
      <c r="BH12" t="s">
        <v>69</v>
      </c>
      <c r="BI12" t="s">
        <v>69</v>
      </c>
      <c r="BJ12" t="s">
        <v>152</v>
      </c>
      <c r="BK12" t="s">
        <v>69</v>
      </c>
      <c r="BL12">
        <v>181.191</v>
      </c>
      <c r="BM12" t="s">
        <v>69</v>
      </c>
      <c r="BN12" t="s">
        <v>69</v>
      </c>
      <c r="BO12">
        <v>653</v>
      </c>
      <c r="BP12" t="s">
        <v>115</v>
      </c>
      <c r="BQ12" t="s">
        <v>69</v>
      </c>
      <c r="BR12" t="s">
        <v>71</v>
      </c>
      <c r="BS12" t="s">
        <v>69</v>
      </c>
      <c r="BT12">
        <v>117.148</v>
      </c>
      <c r="BU12" t="s">
        <v>69</v>
      </c>
      <c r="BV12" t="s">
        <v>69</v>
      </c>
    </row>
    <row r="13" spans="1:74" x14ac:dyDescent="0.25">
      <c r="A13">
        <v>7</v>
      </c>
      <c r="B13" t="str">
        <f>HYPERLINK("http://www.ncbi.nlm.nih.gov/protein/XP_030181868.1","XP_030181868.1")</f>
        <v>XP_030181868.1</v>
      </c>
      <c r="C13">
        <v>42175</v>
      </c>
      <c r="D13" t="str">
        <f>HYPERLINK("http://www.ncbi.nlm.nih.gov/Taxonomy/Browser/wwwtax.cgi?mode=Info&amp;id=61383&amp;lvl=3&amp;lin=f&amp;keep=1&amp;srchmode=1&amp;unlock","61383")</f>
        <v>61383</v>
      </c>
      <c r="E13" t="s">
        <v>66</v>
      </c>
      <c r="F13" t="str">
        <f>HYPERLINK("http://www.ncbi.nlm.nih.gov/Taxonomy/Browser/wwwtax.cgi?mode=Info&amp;id=61383&amp;lvl=3&amp;lin=f&amp;keep=1&amp;srchmode=1&amp;unlock","Lynx canadensis")</f>
        <v>Lynx canadensis</v>
      </c>
      <c r="G13" t="s">
        <v>105</v>
      </c>
      <c r="H13" t="str">
        <f>HYPERLINK("http://www.ncbi.nlm.nih.gov/protein/XP_030181868.1","signal transducer and activator of transcription 1-alpha/beta")</f>
        <v>signal transducer and activator of transcription 1-alpha/beta</v>
      </c>
      <c r="I13" t="s">
        <v>268</v>
      </c>
      <c r="J13" t="s">
        <v>153</v>
      </c>
      <c r="K13">
        <v>584</v>
      </c>
      <c r="L13" t="s">
        <v>76</v>
      </c>
      <c r="M13" t="s">
        <v>69</v>
      </c>
      <c r="N13" t="s">
        <v>75</v>
      </c>
      <c r="O13" t="s">
        <v>69</v>
      </c>
      <c r="P13">
        <v>146.18899999999999</v>
      </c>
      <c r="Q13" t="s">
        <v>69</v>
      </c>
      <c r="R13" t="s">
        <v>69</v>
      </c>
      <c r="S13">
        <v>585</v>
      </c>
      <c r="T13" t="s">
        <v>119</v>
      </c>
      <c r="U13" t="s">
        <v>69</v>
      </c>
      <c r="V13" t="s">
        <v>120</v>
      </c>
      <c r="W13" t="s">
        <v>69</v>
      </c>
      <c r="X13">
        <v>147.131</v>
      </c>
      <c r="Y13" t="s">
        <v>69</v>
      </c>
      <c r="Z13" t="s">
        <v>69</v>
      </c>
      <c r="AA13">
        <v>588</v>
      </c>
      <c r="AB13" t="s">
        <v>74</v>
      </c>
      <c r="AC13" t="s">
        <v>69</v>
      </c>
      <c r="AD13" t="s">
        <v>75</v>
      </c>
      <c r="AE13" t="s">
        <v>69</v>
      </c>
      <c r="AF13">
        <v>174.203</v>
      </c>
      <c r="AG13" t="s">
        <v>69</v>
      </c>
      <c r="AH13" t="s">
        <v>69</v>
      </c>
      <c r="AI13">
        <v>616</v>
      </c>
      <c r="AJ13" t="s">
        <v>250</v>
      </c>
      <c r="AK13" t="s">
        <v>69</v>
      </c>
      <c r="AL13" t="s">
        <v>152</v>
      </c>
      <c r="AM13" t="s">
        <v>69</v>
      </c>
      <c r="AN13">
        <v>204.22800000000001</v>
      </c>
      <c r="AO13" t="s">
        <v>69</v>
      </c>
      <c r="AP13" t="s">
        <v>69</v>
      </c>
      <c r="AQ13">
        <v>627</v>
      </c>
      <c r="AR13" t="s">
        <v>69</v>
      </c>
      <c r="AS13" t="s">
        <v>153</v>
      </c>
      <c r="AT13" t="s">
        <v>152</v>
      </c>
      <c r="AU13" t="s">
        <v>153</v>
      </c>
      <c r="AV13">
        <v>181.191</v>
      </c>
      <c r="AW13" t="s">
        <v>153</v>
      </c>
      <c r="AX13" t="s">
        <v>153</v>
      </c>
      <c r="AY13">
        <v>633</v>
      </c>
      <c r="AZ13" t="s">
        <v>146</v>
      </c>
      <c r="BA13" t="s">
        <v>69</v>
      </c>
      <c r="BB13" t="s">
        <v>71</v>
      </c>
      <c r="BC13" t="s">
        <v>69</v>
      </c>
      <c r="BD13">
        <v>115.13200000000001</v>
      </c>
      <c r="BE13" t="s">
        <v>69</v>
      </c>
      <c r="BF13" t="s">
        <v>69</v>
      </c>
      <c r="BG13">
        <v>634</v>
      </c>
      <c r="BH13" t="s">
        <v>69</v>
      </c>
      <c r="BI13" t="s">
        <v>69</v>
      </c>
      <c r="BJ13" t="s">
        <v>152</v>
      </c>
      <c r="BK13" t="s">
        <v>69</v>
      </c>
      <c r="BL13">
        <v>181.191</v>
      </c>
      <c r="BM13" t="s">
        <v>69</v>
      </c>
      <c r="BN13" t="s">
        <v>69</v>
      </c>
      <c r="BO13">
        <v>653</v>
      </c>
      <c r="BP13" t="s">
        <v>115</v>
      </c>
      <c r="BQ13" t="s">
        <v>69</v>
      </c>
      <c r="BR13" t="s">
        <v>71</v>
      </c>
      <c r="BS13" t="s">
        <v>69</v>
      </c>
      <c r="BT13">
        <v>117.148</v>
      </c>
      <c r="BU13" t="s">
        <v>69</v>
      </c>
      <c r="BV13" t="s">
        <v>69</v>
      </c>
    </row>
    <row r="14" spans="1:74" x14ac:dyDescent="0.25">
      <c r="A14">
        <v>7</v>
      </c>
      <c r="B14" t="str">
        <f>HYPERLINK("http://www.ncbi.nlm.nih.gov/protein/XP_047728482.1","XP_047728482.1")</f>
        <v>XP_047728482.1</v>
      </c>
      <c r="C14">
        <v>56399</v>
      </c>
      <c r="D14" t="str">
        <f>HYPERLINK("http://www.ncbi.nlm.nih.gov/Taxonomy/Browser/wwwtax.cgi?mode=Info&amp;id=61388&amp;lvl=3&amp;lin=f&amp;keep=1&amp;srchmode=1&amp;unlock","61388")</f>
        <v>61388</v>
      </c>
      <c r="E14" t="s">
        <v>66</v>
      </c>
      <c r="F14" t="str">
        <f>HYPERLINK("http://www.ncbi.nlm.nih.gov/Taxonomy/Browser/wwwtax.cgi?mode=Info&amp;id=61388&amp;lvl=3&amp;lin=f&amp;keep=1&amp;srchmode=1&amp;unlock","Prionailurus viverrinus")</f>
        <v>Prionailurus viverrinus</v>
      </c>
      <c r="G14" t="s">
        <v>94</v>
      </c>
      <c r="H14" t="str">
        <f>HYPERLINK("http://www.ncbi.nlm.nih.gov/protein/XP_047728482.1","signal transducer and activator of transcription 1-alpha/beta isoform X1")</f>
        <v>signal transducer and activator of transcription 1-alpha/beta isoform X1</v>
      </c>
      <c r="I14" t="s">
        <v>268</v>
      </c>
      <c r="J14" t="s">
        <v>153</v>
      </c>
      <c r="K14">
        <v>584</v>
      </c>
      <c r="L14" t="s">
        <v>76</v>
      </c>
      <c r="M14" t="s">
        <v>69</v>
      </c>
      <c r="N14" t="s">
        <v>75</v>
      </c>
      <c r="O14" t="s">
        <v>69</v>
      </c>
      <c r="P14">
        <v>146.18899999999999</v>
      </c>
      <c r="Q14" t="s">
        <v>69</v>
      </c>
      <c r="R14" t="s">
        <v>69</v>
      </c>
      <c r="S14">
        <v>585</v>
      </c>
      <c r="T14" t="s">
        <v>119</v>
      </c>
      <c r="U14" t="s">
        <v>69</v>
      </c>
      <c r="V14" t="s">
        <v>120</v>
      </c>
      <c r="W14" t="s">
        <v>69</v>
      </c>
      <c r="X14">
        <v>147.131</v>
      </c>
      <c r="Y14" t="s">
        <v>69</v>
      </c>
      <c r="Z14" t="s">
        <v>69</v>
      </c>
      <c r="AA14">
        <v>588</v>
      </c>
      <c r="AB14" t="s">
        <v>74</v>
      </c>
      <c r="AC14" t="s">
        <v>69</v>
      </c>
      <c r="AD14" t="s">
        <v>75</v>
      </c>
      <c r="AE14" t="s">
        <v>69</v>
      </c>
      <c r="AF14">
        <v>174.203</v>
      </c>
      <c r="AG14" t="s">
        <v>69</v>
      </c>
      <c r="AH14" t="s">
        <v>69</v>
      </c>
      <c r="AI14">
        <v>616</v>
      </c>
      <c r="AJ14" t="s">
        <v>250</v>
      </c>
      <c r="AK14" t="s">
        <v>69</v>
      </c>
      <c r="AL14" t="s">
        <v>152</v>
      </c>
      <c r="AM14" t="s">
        <v>69</v>
      </c>
      <c r="AN14">
        <v>204.22800000000001</v>
      </c>
      <c r="AO14" t="s">
        <v>69</v>
      </c>
      <c r="AP14" t="s">
        <v>69</v>
      </c>
      <c r="AQ14">
        <v>627</v>
      </c>
      <c r="AR14" t="s">
        <v>69</v>
      </c>
      <c r="AS14" t="s">
        <v>153</v>
      </c>
      <c r="AT14" t="s">
        <v>152</v>
      </c>
      <c r="AU14" t="s">
        <v>153</v>
      </c>
      <c r="AV14">
        <v>181.191</v>
      </c>
      <c r="AW14" t="s">
        <v>153</v>
      </c>
      <c r="AX14" t="s">
        <v>153</v>
      </c>
      <c r="AY14">
        <v>633</v>
      </c>
      <c r="AZ14" t="s">
        <v>146</v>
      </c>
      <c r="BA14" t="s">
        <v>69</v>
      </c>
      <c r="BB14" t="s">
        <v>71</v>
      </c>
      <c r="BC14" t="s">
        <v>69</v>
      </c>
      <c r="BD14">
        <v>115.13200000000001</v>
      </c>
      <c r="BE14" t="s">
        <v>69</v>
      </c>
      <c r="BF14" t="s">
        <v>69</v>
      </c>
      <c r="BG14">
        <v>634</v>
      </c>
      <c r="BH14" t="s">
        <v>69</v>
      </c>
      <c r="BI14" t="s">
        <v>69</v>
      </c>
      <c r="BJ14" t="s">
        <v>152</v>
      </c>
      <c r="BK14" t="s">
        <v>69</v>
      </c>
      <c r="BL14">
        <v>181.191</v>
      </c>
      <c r="BM14" t="s">
        <v>69</v>
      </c>
      <c r="BN14" t="s">
        <v>69</v>
      </c>
      <c r="BO14">
        <v>653</v>
      </c>
      <c r="BP14" t="s">
        <v>115</v>
      </c>
      <c r="BQ14" t="s">
        <v>69</v>
      </c>
      <c r="BR14" t="s">
        <v>71</v>
      </c>
      <c r="BS14" t="s">
        <v>69</v>
      </c>
      <c r="BT14">
        <v>117.148</v>
      </c>
      <c r="BU14" t="s">
        <v>69</v>
      </c>
      <c r="BV14" t="s">
        <v>69</v>
      </c>
    </row>
    <row r="15" spans="1:74" x14ac:dyDescent="0.25">
      <c r="A15">
        <v>7</v>
      </c>
      <c r="B15" t="str">
        <f>HYPERLINK("http://www.ncbi.nlm.nih.gov/protein/XP_017520763.1","XP_017520763.1")</f>
        <v>XP_017520763.1</v>
      </c>
      <c r="C15">
        <v>56064</v>
      </c>
      <c r="D15" t="str">
        <f>HYPERLINK("http://www.ncbi.nlm.nih.gov/Taxonomy/Browser/wwwtax.cgi?mode=Info&amp;id=9974&amp;lvl=3&amp;lin=f&amp;keep=1&amp;srchmode=1&amp;unlock","9974")</f>
        <v>9974</v>
      </c>
      <c r="E15" t="s">
        <v>66</v>
      </c>
      <c r="F15" t="str">
        <f>HYPERLINK("http://www.ncbi.nlm.nih.gov/Taxonomy/Browser/wwwtax.cgi?mode=Info&amp;id=9974&amp;lvl=3&amp;lin=f&amp;keep=1&amp;srchmode=1&amp;unlock","Manis javanica")</f>
        <v>Manis javanica</v>
      </c>
      <c r="G15" t="s">
        <v>100</v>
      </c>
      <c r="H15" t="str">
        <f>HYPERLINK("http://www.ncbi.nlm.nih.gov/protein/XP_017520763.1","signal transducer and activator of transcription 1-alpha/beta isoform X1")</f>
        <v>signal transducer and activator of transcription 1-alpha/beta isoform X1</v>
      </c>
      <c r="I15" t="s">
        <v>268</v>
      </c>
      <c r="J15" t="s">
        <v>153</v>
      </c>
      <c r="K15">
        <v>584</v>
      </c>
      <c r="L15" t="s">
        <v>76</v>
      </c>
      <c r="M15" t="s">
        <v>69</v>
      </c>
      <c r="N15" t="s">
        <v>75</v>
      </c>
      <c r="O15" t="s">
        <v>69</v>
      </c>
      <c r="P15">
        <v>146.18899999999999</v>
      </c>
      <c r="Q15" t="s">
        <v>69</v>
      </c>
      <c r="R15" t="s">
        <v>69</v>
      </c>
      <c r="S15">
        <v>585</v>
      </c>
      <c r="T15" t="s">
        <v>119</v>
      </c>
      <c r="U15" t="s">
        <v>69</v>
      </c>
      <c r="V15" t="s">
        <v>120</v>
      </c>
      <c r="W15" t="s">
        <v>69</v>
      </c>
      <c r="X15">
        <v>147.131</v>
      </c>
      <c r="Y15" t="s">
        <v>69</v>
      </c>
      <c r="Z15" t="s">
        <v>69</v>
      </c>
      <c r="AA15">
        <v>588</v>
      </c>
      <c r="AB15" t="s">
        <v>74</v>
      </c>
      <c r="AC15" t="s">
        <v>69</v>
      </c>
      <c r="AD15" t="s">
        <v>75</v>
      </c>
      <c r="AE15" t="s">
        <v>69</v>
      </c>
      <c r="AF15">
        <v>174.203</v>
      </c>
      <c r="AG15" t="s">
        <v>69</v>
      </c>
      <c r="AH15" t="s">
        <v>69</v>
      </c>
      <c r="AI15">
        <v>616</v>
      </c>
      <c r="AJ15" t="s">
        <v>250</v>
      </c>
      <c r="AK15" t="s">
        <v>69</v>
      </c>
      <c r="AL15" t="s">
        <v>152</v>
      </c>
      <c r="AM15" t="s">
        <v>69</v>
      </c>
      <c r="AN15">
        <v>204.22800000000001</v>
      </c>
      <c r="AO15" t="s">
        <v>69</v>
      </c>
      <c r="AP15" t="s">
        <v>69</v>
      </c>
      <c r="AQ15">
        <v>627</v>
      </c>
      <c r="AR15" t="s">
        <v>69</v>
      </c>
      <c r="AS15" t="s">
        <v>153</v>
      </c>
      <c r="AT15" t="s">
        <v>152</v>
      </c>
      <c r="AU15" t="s">
        <v>153</v>
      </c>
      <c r="AV15">
        <v>181.191</v>
      </c>
      <c r="AW15" t="s">
        <v>153</v>
      </c>
      <c r="AX15" t="s">
        <v>153</v>
      </c>
      <c r="AY15">
        <v>633</v>
      </c>
      <c r="AZ15" t="s">
        <v>146</v>
      </c>
      <c r="BA15" t="s">
        <v>69</v>
      </c>
      <c r="BB15" t="s">
        <v>71</v>
      </c>
      <c r="BC15" t="s">
        <v>69</v>
      </c>
      <c r="BD15">
        <v>115.13200000000001</v>
      </c>
      <c r="BE15" t="s">
        <v>69</v>
      </c>
      <c r="BF15" t="s">
        <v>69</v>
      </c>
      <c r="BG15">
        <v>634</v>
      </c>
      <c r="BH15" t="s">
        <v>69</v>
      </c>
      <c r="BI15" t="s">
        <v>69</v>
      </c>
      <c r="BJ15" t="s">
        <v>152</v>
      </c>
      <c r="BK15" t="s">
        <v>69</v>
      </c>
      <c r="BL15">
        <v>181.191</v>
      </c>
      <c r="BM15" t="s">
        <v>69</v>
      </c>
      <c r="BN15" t="s">
        <v>69</v>
      </c>
      <c r="BO15">
        <v>653</v>
      </c>
      <c r="BP15" t="s">
        <v>115</v>
      </c>
      <c r="BQ15" t="s">
        <v>69</v>
      </c>
      <c r="BR15" t="s">
        <v>71</v>
      </c>
      <c r="BS15" t="s">
        <v>69</v>
      </c>
      <c r="BT15">
        <v>117.148</v>
      </c>
      <c r="BU15" t="s">
        <v>69</v>
      </c>
      <c r="BV15" t="s">
        <v>69</v>
      </c>
    </row>
    <row r="16" spans="1:74" x14ac:dyDescent="0.25">
      <c r="A16">
        <v>7</v>
      </c>
      <c r="B16" t="str">
        <f>HYPERLINK("http://www.ncbi.nlm.nih.gov/protein/XP_006147877.2","XP_006147877.2")</f>
        <v>XP_006147877.2</v>
      </c>
      <c r="C16">
        <v>59507</v>
      </c>
      <c r="D16" t="str">
        <f>HYPERLINK("http://www.ncbi.nlm.nih.gov/Taxonomy/Browser/wwwtax.cgi?mode=Info&amp;id=246437&amp;lvl=3&amp;lin=f&amp;keep=1&amp;srchmode=1&amp;unlock","246437")</f>
        <v>246437</v>
      </c>
      <c r="E16" t="s">
        <v>66</v>
      </c>
      <c r="F16" t="str">
        <f>HYPERLINK("http://www.ncbi.nlm.nih.gov/Taxonomy/Browser/wwwtax.cgi?mode=Info&amp;id=246437&amp;lvl=3&amp;lin=f&amp;keep=1&amp;srchmode=1&amp;unlock","Tupaia chinensis")</f>
        <v>Tupaia chinensis</v>
      </c>
      <c r="G16" t="s">
        <v>97</v>
      </c>
      <c r="H16" t="str">
        <f>HYPERLINK("http://www.ncbi.nlm.nih.gov/protein/XP_006147877.2","signal transducer and activator of transcription 1-alpha/beta")</f>
        <v>signal transducer and activator of transcription 1-alpha/beta</v>
      </c>
      <c r="I16" t="s">
        <v>268</v>
      </c>
      <c r="J16" t="s">
        <v>153</v>
      </c>
      <c r="K16">
        <v>584</v>
      </c>
      <c r="L16" t="s">
        <v>76</v>
      </c>
      <c r="M16" t="s">
        <v>69</v>
      </c>
      <c r="N16" t="s">
        <v>75</v>
      </c>
      <c r="O16" t="s">
        <v>69</v>
      </c>
      <c r="P16">
        <v>146.18899999999999</v>
      </c>
      <c r="Q16" t="s">
        <v>69</v>
      </c>
      <c r="R16" t="s">
        <v>69</v>
      </c>
      <c r="S16">
        <v>585</v>
      </c>
      <c r="T16" t="s">
        <v>119</v>
      </c>
      <c r="U16" t="s">
        <v>69</v>
      </c>
      <c r="V16" t="s">
        <v>120</v>
      </c>
      <c r="W16" t="s">
        <v>69</v>
      </c>
      <c r="X16">
        <v>147.131</v>
      </c>
      <c r="Y16" t="s">
        <v>69</v>
      </c>
      <c r="Z16" t="s">
        <v>69</v>
      </c>
      <c r="AA16">
        <v>588</v>
      </c>
      <c r="AB16" t="s">
        <v>74</v>
      </c>
      <c r="AC16" t="s">
        <v>69</v>
      </c>
      <c r="AD16" t="s">
        <v>75</v>
      </c>
      <c r="AE16" t="s">
        <v>69</v>
      </c>
      <c r="AF16">
        <v>174.203</v>
      </c>
      <c r="AG16" t="s">
        <v>69</v>
      </c>
      <c r="AH16" t="s">
        <v>69</v>
      </c>
      <c r="AI16">
        <v>616</v>
      </c>
      <c r="AJ16" t="s">
        <v>250</v>
      </c>
      <c r="AK16" t="s">
        <v>69</v>
      </c>
      <c r="AL16" t="s">
        <v>152</v>
      </c>
      <c r="AM16" t="s">
        <v>69</v>
      </c>
      <c r="AN16">
        <v>204.22800000000001</v>
      </c>
      <c r="AO16" t="s">
        <v>69</v>
      </c>
      <c r="AP16" t="s">
        <v>69</v>
      </c>
      <c r="AQ16">
        <v>627</v>
      </c>
      <c r="AR16" t="s">
        <v>69</v>
      </c>
      <c r="AS16" t="s">
        <v>153</v>
      </c>
      <c r="AT16" t="s">
        <v>152</v>
      </c>
      <c r="AU16" t="s">
        <v>153</v>
      </c>
      <c r="AV16">
        <v>181.191</v>
      </c>
      <c r="AW16" t="s">
        <v>153</v>
      </c>
      <c r="AX16" t="s">
        <v>153</v>
      </c>
      <c r="AY16">
        <v>633</v>
      </c>
      <c r="AZ16" t="s">
        <v>146</v>
      </c>
      <c r="BA16" t="s">
        <v>69</v>
      </c>
      <c r="BB16" t="s">
        <v>71</v>
      </c>
      <c r="BC16" t="s">
        <v>69</v>
      </c>
      <c r="BD16">
        <v>115.13200000000001</v>
      </c>
      <c r="BE16" t="s">
        <v>69</v>
      </c>
      <c r="BF16" t="s">
        <v>69</v>
      </c>
      <c r="BG16">
        <v>634</v>
      </c>
      <c r="BH16" t="s">
        <v>69</v>
      </c>
      <c r="BI16" t="s">
        <v>69</v>
      </c>
      <c r="BJ16" t="s">
        <v>152</v>
      </c>
      <c r="BK16" t="s">
        <v>69</v>
      </c>
      <c r="BL16">
        <v>181.191</v>
      </c>
      <c r="BM16" t="s">
        <v>69</v>
      </c>
      <c r="BN16" t="s">
        <v>69</v>
      </c>
      <c r="BO16">
        <v>653</v>
      </c>
      <c r="BP16" t="s">
        <v>115</v>
      </c>
      <c r="BQ16" t="s">
        <v>69</v>
      </c>
      <c r="BR16" t="s">
        <v>71</v>
      </c>
      <c r="BS16" t="s">
        <v>69</v>
      </c>
      <c r="BT16">
        <v>117.148</v>
      </c>
      <c r="BU16" t="s">
        <v>69</v>
      </c>
      <c r="BV16" t="s">
        <v>69</v>
      </c>
    </row>
    <row r="17" spans="1:74" x14ac:dyDescent="0.25">
      <c r="A17">
        <v>7</v>
      </c>
      <c r="B17" t="str">
        <f>HYPERLINK("http://www.ncbi.nlm.nih.gov/protein/XP_044097119.1","XP_044097119.1")</f>
        <v>XP_044097119.1</v>
      </c>
      <c r="C17">
        <v>44640</v>
      </c>
      <c r="D17" t="str">
        <f>HYPERLINK("http://www.ncbi.nlm.nih.gov/Taxonomy/Browser/wwwtax.cgi?mode=Info&amp;id=452646&amp;lvl=3&amp;lin=f&amp;keep=1&amp;srchmode=1&amp;unlock","452646")</f>
        <v>452646</v>
      </c>
      <c r="E17" t="s">
        <v>66</v>
      </c>
      <c r="F17" t="str">
        <f>HYPERLINK("http://www.ncbi.nlm.nih.gov/Taxonomy/Browser/wwwtax.cgi?mode=Info&amp;id=452646&amp;lvl=3&amp;lin=f&amp;keep=1&amp;srchmode=1&amp;unlock","Neogale vison")</f>
        <v>Neogale vison</v>
      </c>
      <c r="G17" t="s">
        <v>96</v>
      </c>
      <c r="H17" t="str">
        <f>HYPERLINK("http://www.ncbi.nlm.nih.gov/protein/XP_044097119.1","signal transducer and activator of transcription 1-alpha/beta")</f>
        <v>signal transducer and activator of transcription 1-alpha/beta</v>
      </c>
      <c r="I17" t="s">
        <v>268</v>
      </c>
      <c r="J17" t="s">
        <v>69</v>
      </c>
      <c r="K17">
        <v>584</v>
      </c>
      <c r="L17" t="s">
        <v>76</v>
      </c>
      <c r="M17" t="s">
        <v>69</v>
      </c>
      <c r="N17" t="s">
        <v>75</v>
      </c>
      <c r="O17" t="s">
        <v>69</v>
      </c>
      <c r="P17">
        <v>146.18899999999999</v>
      </c>
      <c r="Q17" t="s">
        <v>69</v>
      </c>
      <c r="R17" t="s">
        <v>69</v>
      </c>
      <c r="S17">
        <v>585</v>
      </c>
      <c r="T17" t="s">
        <v>119</v>
      </c>
      <c r="U17" t="s">
        <v>69</v>
      </c>
      <c r="V17" t="s">
        <v>120</v>
      </c>
      <c r="W17" t="s">
        <v>69</v>
      </c>
      <c r="X17">
        <v>147.131</v>
      </c>
      <c r="Y17" t="s">
        <v>69</v>
      </c>
      <c r="Z17" t="s">
        <v>69</v>
      </c>
      <c r="AA17">
        <v>588</v>
      </c>
      <c r="AB17" t="s">
        <v>74</v>
      </c>
      <c r="AC17" t="s">
        <v>69</v>
      </c>
      <c r="AD17" t="s">
        <v>75</v>
      </c>
      <c r="AE17" t="s">
        <v>69</v>
      </c>
      <c r="AF17">
        <v>174.203</v>
      </c>
      <c r="AG17" t="s">
        <v>69</v>
      </c>
      <c r="AH17" t="s">
        <v>69</v>
      </c>
      <c r="AI17">
        <v>616</v>
      </c>
      <c r="AJ17" t="s">
        <v>250</v>
      </c>
      <c r="AK17" t="s">
        <v>69</v>
      </c>
      <c r="AL17" t="s">
        <v>152</v>
      </c>
      <c r="AM17" t="s">
        <v>69</v>
      </c>
      <c r="AN17">
        <v>204.22800000000001</v>
      </c>
      <c r="AO17" t="s">
        <v>69</v>
      </c>
      <c r="AP17" t="s">
        <v>69</v>
      </c>
      <c r="AQ17">
        <v>627</v>
      </c>
      <c r="AR17" t="s">
        <v>157</v>
      </c>
      <c r="AS17" t="s">
        <v>153</v>
      </c>
      <c r="AT17" t="s">
        <v>75</v>
      </c>
      <c r="AU17" t="s">
        <v>153</v>
      </c>
      <c r="AV17">
        <v>155.15600000000001</v>
      </c>
      <c r="AW17" t="s">
        <v>69</v>
      </c>
      <c r="AX17" t="s">
        <v>69</v>
      </c>
      <c r="AY17">
        <v>633</v>
      </c>
      <c r="AZ17" t="s">
        <v>146</v>
      </c>
      <c r="BA17" t="s">
        <v>69</v>
      </c>
      <c r="BB17" t="s">
        <v>71</v>
      </c>
      <c r="BC17" t="s">
        <v>69</v>
      </c>
      <c r="BD17">
        <v>115.13200000000001</v>
      </c>
      <c r="BE17" t="s">
        <v>69</v>
      </c>
      <c r="BF17" t="s">
        <v>69</v>
      </c>
      <c r="BG17">
        <v>634</v>
      </c>
      <c r="BH17" t="s">
        <v>69</v>
      </c>
      <c r="BI17" t="s">
        <v>69</v>
      </c>
      <c r="BJ17" t="s">
        <v>152</v>
      </c>
      <c r="BK17" t="s">
        <v>69</v>
      </c>
      <c r="BL17">
        <v>181.191</v>
      </c>
      <c r="BM17" t="s">
        <v>69</v>
      </c>
      <c r="BN17" t="s">
        <v>69</v>
      </c>
      <c r="BO17">
        <v>653</v>
      </c>
      <c r="BP17" t="s">
        <v>115</v>
      </c>
      <c r="BQ17" t="s">
        <v>69</v>
      </c>
      <c r="BR17" t="s">
        <v>71</v>
      </c>
      <c r="BS17" t="s">
        <v>69</v>
      </c>
      <c r="BT17">
        <v>117.148</v>
      </c>
      <c r="BU17" t="s">
        <v>69</v>
      </c>
      <c r="BV17" t="s">
        <v>69</v>
      </c>
    </row>
    <row r="18" spans="1:74" x14ac:dyDescent="0.25">
      <c r="A18">
        <v>7</v>
      </c>
      <c r="B18" t="str">
        <f>HYPERLINK("http://www.ncbi.nlm.nih.gov/protein/XP_012917317.1","XP_012917317.1")</f>
        <v>XP_012917317.1</v>
      </c>
      <c r="C18">
        <v>58003</v>
      </c>
      <c r="D18" t="str">
        <f>HYPERLINK("http://www.ncbi.nlm.nih.gov/Taxonomy/Browser/wwwtax.cgi?mode=Info&amp;id=9669&amp;lvl=3&amp;lin=f&amp;keep=1&amp;srchmode=1&amp;unlock","9669")</f>
        <v>9669</v>
      </c>
      <c r="E18" t="s">
        <v>66</v>
      </c>
      <c r="F18" t="str">
        <f>HYPERLINK("http://www.ncbi.nlm.nih.gov/Taxonomy/Browser/wwwtax.cgi?mode=Info&amp;id=9669&amp;lvl=3&amp;lin=f&amp;keep=1&amp;srchmode=1&amp;unlock","Mustela putorius furo")</f>
        <v>Mustela putorius furo</v>
      </c>
      <c r="G18" t="s">
        <v>98</v>
      </c>
      <c r="H18" t="str">
        <f>HYPERLINK("http://www.ncbi.nlm.nih.gov/protein/XP_012917317.1","signal transducer and activator of transcription 1-alpha/beta")</f>
        <v>signal transducer and activator of transcription 1-alpha/beta</v>
      </c>
      <c r="I18" t="s">
        <v>268</v>
      </c>
      <c r="J18" t="s">
        <v>69</v>
      </c>
      <c r="K18">
        <v>584</v>
      </c>
      <c r="L18" t="s">
        <v>76</v>
      </c>
      <c r="M18" t="s">
        <v>69</v>
      </c>
      <c r="N18" t="s">
        <v>75</v>
      </c>
      <c r="O18" t="s">
        <v>69</v>
      </c>
      <c r="P18">
        <v>146.18899999999999</v>
      </c>
      <c r="Q18" t="s">
        <v>69</v>
      </c>
      <c r="R18" t="s">
        <v>69</v>
      </c>
      <c r="S18">
        <v>585</v>
      </c>
      <c r="T18" t="s">
        <v>119</v>
      </c>
      <c r="U18" t="s">
        <v>69</v>
      </c>
      <c r="V18" t="s">
        <v>120</v>
      </c>
      <c r="W18" t="s">
        <v>69</v>
      </c>
      <c r="X18">
        <v>147.131</v>
      </c>
      <c r="Y18" t="s">
        <v>69</v>
      </c>
      <c r="Z18" t="s">
        <v>69</v>
      </c>
      <c r="AA18">
        <v>588</v>
      </c>
      <c r="AB18" t="s">
        <v>74</v>
      </c>
      <c r="AC18" t="s">
        <v>69</v>
      </c>
      <c r="AD18" t="s">
        <v>75</v>
      </c>
      <c r="AE18" t="s">
        <v>69</v>
      </c>
      <c r="AF18">
        <v>174.203</v>
      </c>
      <c r="AG18" t="s">
        <v>69</v>
      </c>
      <c r="AH18" t="s">
        <v>69</v>
      </c>
      <c r="AI18">
        <v>616</v>
      </c>
      <c r="AJ18" t="s">
        <v>250</v>
      </c>
      <c r="AK18" t="s">
        <v>69</v>
      </c>
      <c r="AL18" t="s">
        <v>152</v>
      </c>
      <c r="AM18" t="s">
        <v>69</v>
      </c>
      <c r="AN18">
        <v>204.22800000000001</v>
      </c>
      <c r="AO18" t="s">
        <v>69</v>
      </c>
      <c r="AP18" t="s">
        <v>69</v>
      </c>
      <c r="AQ18">
        <v>627</v>
      </c>
      <c r="AR18" t="s">
        <v>157</v>
      </c>
      <c r="AS18" t="s">
        <v>153</v>
      </c>
      <c r="AT18" t="s">
        <v>75</v>
      </c>
      <c r="AU18" t="s">
        <v>153</v>
      </c>
      <c r="AV18">
        <v>155.15600000000001</v>
      </c>
      <c r="AW18" t="s">
        <v>69</v>
      </c>
      <c r="AX18" t="s">
        <v>69</v>
      </c>
      <c r="AY18">
        <v>633</v>
      </c>
      <c r="AZ18" t="s">
        <v>146</v>
      </c>
      <c r="BA18" t="s">
        <v>69</v>
      </c>
      <c r="BB18" t="s">
        <v>71</v>
      </c>
      <c r="BC18" t="s">
        <v>69</v>
      </c>
      <c r="BD18">
        <v>115.13200000000001</v>
      </c>
      <c r="BE18" t="s">
        <v>69</v>
      </c>
      <c r="BF18" t="s">
        <v>69</v>
      </c>
      <c r="BG18">
        <v>634</v>
      </c>
      <c r="BH18" t="s">
        <v>69</v>
      </c>
      <c r="BI18" t="s">
        <v>69</v>
      </c>
      <c r="BJ18" t="s">
        <v>152</v>
      </c>
      <c r="BK18" t="s">
        <v>69</v>
      </c>
      <c r="BL18">
        <v>181.191</v>
      </c>
      <c r="BM18" t="s">
        <v>69</v>
      </c>
      <c r="BN18" t="s">
        <v>69</v>
      </c>
      <c r="BO18">
        <v>653</v>
      </c>
      <c r="BP18" t="s">
        <v>115</v>
      </c>
      <c r="BQ18" t="s">
        <v>69</v>
      </c>
      <c r="BR18" t="s">
        <v>71</v>
      </c>
      <c r="BS18" t="s">
        <v>69</v>
      </c>
      <c r="BT18">
        <v>117.148</v>
      </c>
      <c r="BU18" t="s">
        <v>69</v>
      </c>
      <c r="BV18" t="s">
        <v>69</v>
      </c>
    </row>
    <row r="19" spans="1:74" x14ac:dyDescent="0.25">
      <c r="A19">
        <v>7</v>
      </c>
      <c r="B19" t="str">
        <f>HYPERLINK("http://www.ncbi.nlm.nih.gov/protein/XP_045875270.1","XP_045875270.1")</f>
        <v>XP_045875270.1</v>
      </c>
      <c r="C19">
        <v>50752</v>
      </c>
      <c r="D19" t="str">
        <f>HYPERLINK("http://www.ncbi.nlm.nih.gov/Taxonomy/Browser/wwwtax.cgi?mode=Info&amp;id=9662&amp;lvl=3&amp;lin=f&amp;keep=1&amp;srchmode=1&amp;unlock","9662")</f>
        <v>9662</v>
      </c>
      <c r="E19" t="s">
        <v>66</v>
      </c>
      <c r="F19" t="str">
        <f>HYPERLINK("http://www.ncbi.nlm.nih.gov/Taxonomy/Browser/wwwtax.cgi?mode=Info&amp;id=9662&amp;lvl=3&amp;lin=f&amp;keep=1&amp;srchmode=1&amp;unlock","Meles meles")</f>
        <v>Meles meles</v>
      </c>
      <c r="G19" t="s">
        <v>99</v>
      </c>
      <c r="H19" t="str">
        <f>HYPERLINK("http://www.ncbi.nlm.nih.gov/protein/XP_045875270.1","signal transducer and activator of transcription 1-alpha/beta")</f>
        <v>signal transducer and activator of transcription 1-alpha/beta</v>
      </c>
      <c r="I19" t="s">
        <v>268</v>
      </c>
      <c r="J19" t="s">
        <v>69</v>
      </c>
      <c r="K19">
        <v>584</v>
      </c>
      <c r="L19" t="s">
        <v>76</v>
      </c>
      <c r="M19" t="s">
        <v>69</v>
      </c>
      <c r="N19" t="s">
        <v>75</v>
      </c>
      <c r="O19" t="s">
        <v>69</v>
      </c>
      <c r="P19">
        <v>146.18899999999999</v>
      </c>
      <c r="Q19" t="s">
        <v>69</v>
      </c>
      <c r="R19" t="s">
        <v>69</v>
      </c>
      <c r="S19">
        <v>585</v>
      </c>
      <c r="T19" t="s">
        <v>119</v>
      </c>
      <c r="U19" t="s">
        <v>69</v>
      </c>
      <c r="V19" t="s">
        <v>120</v>
      </c>
      <c r="W19" t="s">
        <v>69</v>
      </c>
      <c r="X19">
        <v>147.131</v>
      </c>
      <c r="Y19" t="s">
        <v>69</v>
      </c>
      <c r="Z19" t="s">
        <v>69</v>
      </c>
      <c r="AA19">
        <v>588</v>
      </c>
      <c r="AB19" t="s">
        <v>74</v>
      </c>
      <c r="AC19" t="s">
        <v>69</v>
      </c>
      <c r="AD19" t="s">
        <v>75</v>
      </c>
      <c r="AE19" t="s">
        <v>69</v>
      </c>
      <c r="AF19">
        <v>174.203</v>
      </c>
      <c r="AG19" t="s">
        <v>69</v>
      </c>
      <c r="AH19" t="s">
        <v>69</v>
      </c>
      <c r="AI19">
        <v>616</v>
      </c>
      <c r="AJ19" t="s">
        <v>250</v>
      </c>
      <c r="AK19" t="s">
        <v>69</v>
      </c>
      <c r="AL19" t="s">
        <v>152</v>
      </c>
      <c r="AM19" t="s">
        <v>69</v>
      </c>
      <c r="AN19">
        <v>204.22800000000001</v>
      </c>
      <c r="AO19" t="s">
        <v>69</v>
      </c>
      <c r="AP19" t="s">
        <v>69</v>
      </c>
      <c r="AQ19">
        <v>627</v>
      </c>
      <c r="AR19" t="s">
        <v>157</v>
      </c>
      <c r="AS19" t="s">
        <v>153</v>
      </c>
      <c r="AT19" t="s">
        <v>75</v>
      </c>
      <c r="AU19" t="s">
        <v>153</v>
      </c>
      <c r="AV19">
        <v>155.15600000000001</v>
      </c>
      <c r="AW19" t="s">
        <v>69</v>
      </c>
      <c r="AX19" t="s">
        <v>69</v>
      </c>
      <c r="AY19">
        <v>633</v>
      </c>
      <c r="AZ19" t="s">
        <v>146</v>
      </c>
      <c r="BA19" t="s">
        <v>69</v>
      </c>
      <c r="BB19" t="s">
        <v>71</v>
      </c>
      <c r="BC19" t="s">
        <v>69</v>
      </c>
      <c r="BD19">
        <v>115.13200000000001</v>
      </c>
      <c r="BE19" t="s">
        <v>69</v>
      </c>
      <c r="BF19" t="s">
        <v>69</v>
      </c>
      <c r="BG19">
        <v>634</v>
      </c>
      <c r="BH19" t="s">
        <v>69</v>
      </c>
      <c r="BI19" t="s">
        <v>69</v>
      </c>
      <c r="BJ19" t="s">
        <v>152</v>
      </c>
      <c r="BK19" t="s">
        <v>69</v>
      </c>
      <c r="BL19">
        <v>181.191</v>
      </c>
      <c r="BM19" t="s">
        <v>69</v>
      </c>
      <c r="BN19" t="s">
        <v>69</v>
      </c>
      <c r="BO19">
        <v>653</v>
      </c>
      <c r="BP19" t="s">
        <v>115</v>
      </c>
      <c r="BQ19" t="s">
        <v>69</v>
      </c>
      <c r="BR19" t="s">
        <v>71</v>
      </c>
      <c r="BS19" t="s">
        <v>69</v>
      </c>
      <c r="BT19">
        <v>117.148</v>
      </c>
      <c r="BU19" t="s">
        <v>69</v>
      </c>
      <c r="BV19" t="s">
        <v>69</v>
      </c>
    </row>
    <row r="20" spans="1:74" x14ac:dyDescent="0.25">
      <c r="A20">
        <v>7</v>
      </c>
      <c r="B20" t="str">
        <f>HYPERLINK("http://www.ncbi.nlm.nih.gov/protein/XP_038303349.1","XP_038303349.1")</f>
        <v>XP_038303349.1</v>
      </c>
      <c r="C20">
        <v>136357</v>
      </c>
      <c r="D20" t="str">
        <f>HYPERLINK("http://www.ncbi.nlm.nih.gov/Taxonomy/Browser/wwwtax.cgi?mode=Info&amp;id=9615&amp;lvl=3&amp;lin=f&amp;keep=1&amp;srchmode=1&amp;unlock","9615")</f>
        <v>9615</v>
      </c>
      <c r="E20" t="s">
        <v>66</v>
      </c>
      <c r="F20" t="str">
        <f>HYPERLINK("http://www.ncbi.nlm.nih.gov/Taxonomy/Browser/wwwtax.cgi?mode=Info&amp;id=9615&amp;lvl=3&amp;lin=f&amp;keep=1&amp;srchmode=1&amp;unlock","Canis lupus familiaris")</f>
        <v>Canis lupus familiaris</v>
      </c>
      <c r="G20" t="s">
        <v>84</v>
      </c>
      <c r="H20" t="str">
        <f>HYPERLINK("http://www.ncbi.nlm.nih.gov/protein/XP_038303349.1","signal transducer and activator of transcription 1-alpha/beta")</f>
        <v>signal transducer and activator of transcription 1-alpha/beta</v>
      </c>
      <c r="I20" t="s">
        <v>268</v>
      </c>
      <c r="J20" t="s">
        <v>153</v>
      </c>
      <c r="K20">
        <v>584</v>
      </c>
      <c r="L20" t="s">
        <v>76</v>
      </c>
      <c r="M20" t="s">
        <v>69</v>
      </c>
      <c r="N20" t="s">
        <v>75</v>
      </c>
      <c r="O20" t="s">
        <v>69</v>
      </c>
      <c r="P20">
        <v>146.18899999999999</v>
      </c>
      <c r="Q20" t="s">
        <v>69</v>
      </c>
      <c r="R20" t="s">
        <v>69</v>
      </c>
      <c r="S20">
        <v>585</v>
      </c>
      <c r="T20" t="s">
        <v>119</v>
      </c>
      <c r="U20" t="s">
        <v>69</v>
      </c>
      <c r="V20" t="s">
        <v>120</v>
      </c>
      <c r="W20" t="s">
        <v>69</v>
      </c>
      <c r="X20">
        <v>147.131</v>
      </c>
      <c r="Y20" t="s">
        <v>69</v>
      </c>
      <c r="Z20" t="s">
        <v>69</v>
      </c>
      <c r="AA20">
        <v>588</v>
      </c>
      <c r="AB20" t="s">
        <v>74</v>
      </c>
      <c r="AC20" t="s">
        <v>69</v>
      </c>
      <c r="AD20" t="s">
        <v>75</v>
      </c>
      <c r="AE20" t="s">
        <v>69</v>
      </c>
      <c r="AF20">
        <v>174.203</v>
      </c>
      <c r="AG20" t="s">
        <v>69</v>
      </c>
      <c r="AH20" t="s">
        <v>69</v>
      </c>
      <c r="AI20">
        <v>616</v>
      </c>
      <c r="AJ20" t="s">
        <v>250</v>
      </c>
      <c r="AK20" t="s">
        <v>69</v>
      </c>
      <c r="AL20" t="s">
        <v>152</v>
      </c>
      <c r="AM20" t="s">
        <v>69</v>
      </c>
      <c r="AN20">
        <v>204.22800000000001</v>
      </c>
      <c r="AO20" t="s">
        <v>69</v>
      </c>
      <c r="AP20" t="s">
        <v>69</v>
      </c>
      <c r="AQ20">
        <v>627</v>
      </c>
      <c r="AR20" t="s">
        <v>69</v>
      </c>
      <c r="AS20" t="s">
        <v>153</v>
      </c>
      <c r="AT20" t="s">
        <v>152</v>
      </c>
      <c r="AU20" t="s">
        <v>153</v>
      </c>
      <c r="AV20">
        <v>181.191</v>
      </c>
      <c r="AW20" t="s">
        <v>153</v>
      </c>
      <c r="AX20" t="s">
        <v>153</v>
      </c>
      <c r="AY20">
        <v>633</v>
      </c>
      <c r="AZ20" t="s">
        <v>146</v>
      </c>
      <c r="BA20" t="s">
        <v>69</v>
      </c>
      <c r="BB20" t="s">
        <v>71</v>
      </c>
      <c r="BC20" t="s">
        <v>69</v>
      </c>
      <c r="BD20">
        <v>115.13200000000001</v>
      </c>
      <c r="BE20" t="s">
        <v>69</v>
      </c>
      <c r="BF20" t="s">
        <v>69</v>
      </c>
      <c r="BG20">
        <v>634</v>
      </c>
      <c r="BH20" t="s">
        <v>69</v>
      </c>
      <c r="BI20" t="s">
        <v>69</v>
      </c>
      <c r="BJ20" t="s">
        <v>152</v>
      </c>
      <c r="BK20" t="s">
        <v>69</v>
      </c>
      <c r="BL20">
        <v>181.191</v>
      </c>
      <c r="BM20" t="s">
        <v>69</v>
      </c>
      <c r="BN20" t="s">
        <v>69</v>
      </c>
      <c r="BO20">
        <v>653</v>
      </c>
      <c r="BP20" t="s">
        <v>115</v>
      </c>
      <c r="BQ20" t="s">
        <v>69</v>
      </c>
      <c r="BR20" t="s">
        <v>71</v>
      </c>
      <c r="BS20" t="s">
        <v>69</v>
      </c>
      <c r="BT20">
        <v>117.148</v>
      </c>
      <c r="BU20" t="s">
        <v>69</v>
      </c>
      <c r="BV20" t="s">
        <v>69</v>
      </c>
    </row>
    <row r="21" spans="1:74" x14ac:dyDescent="0.25">
      <c r="A21">
        <v>7</v>
      </c>
      <c r="B21" t="str">
        <f>HYPERLINK("http://www.ncbi.nlm.nih.gov/protein/XP_025858432.1","XP_025858432.1")</f>
        <v>XP_025858432.1</v>
      </c>
      <c r="C21">
        <v>38435</v>
      </c>
      <c r="D21" t="str">
        <f>HYPERLINK("http://www.ncbi.nlm.nih.gov/Taxonomy/Browser/wwwtax.cgi?mode=Info&amp;id=9627&amp;lvl=3&amp;lin=f&amp;keep=1&amp;srchmode=1&amp;unlock","9627")</f>
        <v>9627</v>
      </c>
      <c r="E21" t="s">
        <v>66</v>
      </c>
      <c r="F21" t="str">
        <f>HYPERLINK("http://www.ncbi.nlm.nih.gov/Taxonomy/Browser/wwwtax.cgi?mode=Info&amp;id=9627&amp;lvl=3&amp;lin=f&amp;keep=1&amp;srchmode=1&amp;unlock","Vulpes vulpes")</f>
        <v>Vulpes vulpes</v>
      </c>
      <c r="G21" t="s">
        <v>95</v>
      </c>
      <c r="H21" t="str">
        <f>HYPERLINK("http://www.ncbi.nlm.nih.gov/protein/XP_025858432.1","signal transducer and activator of transcription 1-alpha/beta isoform X2")</f>
        <v>signal transducer and activator of transcription 1-alpha/beta isoform X2</v>
      </c>
      <c r="I21" t="s">
        <v>268</v>
      </c>
      <c r="J21" t="s">
        <v>153</v>
      </c>
      <c r="K21">
        <v>584</v>
      </c>
      <c r="L21" t="s">
        <v>76</v>
      </c>
      <c r="M21" t="s">
        <v>69</v>
      </c>
      <c r="N21" t="s">
        <v>75</v>
      </c>
      <c r="O21" t="s">
        <v>69</v>
      </c>
      <c r="P21">
        <v>146.18899999999999</v>
      </c>
      <c r="Q21" t="s">
        <v>69</v>
      </c>
      <c r="R21" t="s">
        <v>69</v>
      </c>
      <c r="S21">
        <v>585</v>
      </c>
      <c r="T21" t="s">
        <v>119</v>
      </c>
      <c r="U21" t="s">
        <v>69</v>
      </c>
      <c r="V21" t="s">
        <v>120</v>
      </c>
      <c r="W21" t="s">
        <v>69</v>
      </c>
      <c r="X21">
        <v>147.131</v>
      </c>
      <c r="Y21" t="s">
        <v>69</v>
      </c>
      <c r="Z21" t="s">
        <v>69</v>
      </c>
      <c r="AA21">
        <v>588</v>
      </c>
      <c r="AB21" t="s">
        <v>74</v>
      </c>
      <c r="AC21" t="s">
        <v>69</v>
      </c>
      <c r="AD21" t="s">
        <v>75</v>
      </c>
      <c r="AE21" t="s">
        <v>69</v>
      </c>
      <c r="AF21">
        <v>174.203</v>
      </c>
      <c r="AG21" t="s">
        <v>69</v>
      </c>
      <c r="AH21" t="s">
        <v>69</v>
      </c>
      <c r="AI21">
        <v>616</v>
      </c>
      <c r="AJ21" t="s">
        <v>250</v>
      </c>
      <c r="AK21" t="s">
        <v>69</v>
      </c>
      <c r="AL21" t="s">
        <v>152</v>
      </c>
      <c r="AM21" t="s">
        <v>69</v>
      </c>
      <c r="AN21">
        <v>204.22800000000001</v>
      </c>
      <c r="AO21" t="s">
        <v>69</v>
      </c>
      <c r="AP21" t="s">
        <v>69</v>
      </c>
      <c r="AQ21">
        <v>627</v>
      </c>
      <c r="AR21" t="s">
        <v>69</v>
      </c>
      <c r="AS21" t="s">
        <v>153</v>
      </c>
      <c r="AT21" t="s">
        <v>152</v>
      </c>
      <c r="AU21" t="s">
        <v>153</v>
      </c>
      <c r="AV21">
        <v>181.191</v>
      </c>
      <c r="AW21" t="s">
        <v>153</v>
      </c>
      <c r="AX21" t="s">
        <v>153</v>
      </c>
      <c r="AY21">
        <v>633</v>
      </c>
      <c r="AZ21" t="s">
        <v>146</v>
      </c>
      <c r="BA21" t="s">
        <v>69</v>
      </c>
      <c r="BB21" t="s">
        <v>71</v>
      </c>
      <c r="BC21" t="s">
        <v>69</v>
      </c>
      <c r="BD21">
        <v>115.13200000000001</v>
      </c>
      <c r="BE21" t="s">
        <v>69</v>
      </c>
      <c r="BF21" t="s">
        <v>69</v>
      </c>
      <c r="BG21">
        <v>634</v>
      </c>
      <c r="BH21" t="s">
        <v>69</v>
      </c>
      <c r="BI21" t="s">
        <v>69</v>
      </c>
      <c r="BJ21" t="s">
        <v>152</v>
      </c>
      <c r="BK21" t="s">
        <v>69</v>
      </c>
      <c r="BL21">
        <v>181.191</v>
      </c>
      <c r="BM21" t="s">
        <v>69</v>
      </c>
      <c r="BN21" t="s">
        <v>69</v>
      </c>
      <c r="BO21">
        <v>653</v>
      </c>
      <c r="BP21" t="s">
        <v>115</v>
      </c>
      <c r="BQ21" t="s">
        <v>69</v>
      </c>
      <c r="BR21" t="s">
        <v>71</v>
      </c>
      <c r="BS21" t="s">
        <v>69</v>
      </c>
      <c r="BT21">
        <v>117.148</v>
      </c>
      <c r="BU21" t="s">
        <v>69</v>
      </c>
      <c r="BV21" t="s">
        <v>69</v>
      </c>
    </row>
    <row r="22" spans="1:74" x14ac:dyDescent="0.25">
      <c r="A22">
        <v>7</v>
      </c>
      <c r="B22" t="str">
        <f>HYPERLINK("http://www.ncbi.nlm.nih.gov/protein/NP_001310520.1","NP_001310520.1")</f>
        <v>NP_001310520.1</v>
      </c>
      <c r="C22">
        <v>117142</v>
      </c>
      <c r="D22" t="str">
        <f>HYPERLINK("http://www.ncbi.nlm.nih.gov/Taxonomy/Browser/wwwtax.cgi?mode=Info&amp;id=9407&amp;lvl=3&amp;lin=f&amp;keep=1&amp;srchmode=1&amp;unlock","9407")</f>
        <v>9407</v>
      </c>
      <c r="E22" t="s">
        <v>66</v>
      </c>
      <c r="F22" t="str">
        <f>HYPERLINK("http://www.ncbi.nlm.nih.gov/Taxonomy/Browser/wwwtax.cgi?mode=Info&amp;id=9407&amp;lvl=3&amp;lin=f&amp;keep=1&amp;srchmode=1&amp;unlock","Rousettus aegyptiacus")</f>
        <v>Rousettus aegyptiacus</v>
      </c>
      <c r="G22" t="s">
        <v>103</v>
      </c>
      <c r="H22" t="str">
        <f>HYPERLINK("http://www.ncbi.nlm.nih.gov/protein/NP_001310520.1","signal transducer and activator of transcription 1-alpha/beta")</f>
        <v>signal transducer and activator of transcription 1-alpha/beta</v>
      </c>
      <c r="I22" t="s">
        <v>268</v>
      </c>
      <c r="J22" t="s">
        <v>153</v>
      </c>
      <c r="K22">
        <v>584</v>
      </c>
      <c r="L22" t="s">
        <v>76</v>
      </c>
      <c r="M22" t="s">
        <v>69</v>
      </c>
      <c r="N22" t="s">
        <v>75</v>
      </c>
      <c r="O22" t="s">
        <v>69</v>
      </c>
      <c r="P22">
        <v>146.18899999999999</v>
      </c>
      <c r="Q22" t="s">
        <v>69</v>
      </c>
      <c r="R22" t="s">
        <v>69</v>
      </c>
      <c r="S22">
        <v>585</v>
      </c>
      <c r="T22" t="s">
        <v>119</v>
      </c>
      <c r="U22" t="s">
        <v>69</v>
      </c>
      <c r="V22" t="s">
        <v>120</v>
      </c>
      <c r="W22" t="s">
        <v>69</v>
      </c>
      <c r="X22">
        <v>147.131</v>
      </c>
      <c r="Y22" t="s">
        <v>69</v>
      </c>
      <c r="Z22" t="s">
        <v>69</v>
      </c>
      <c r="AA22">
        <v>588</v>
      </c>
      <c r="AB22" t="s">
        <v>74</v>
      </c>
      <c r="AC22" t="s">
        <v>69</v>
      </c>
      <c r="AD22" t="s">
        <v>75</v>
      </c>
      <c r="AE22" t="s">
        <v>69</v>
      </c>
      <c r="AF22">
        <v>174.203</v>
      </c>
      <c r="AG22" t="s">
        <v>69</v>
      </c>
      <c r="AH22" t="s">
        <v>69</v>
      </c>
      <c r="AI22">
        <v>616</v>
      </c>
      <c r="AJ22" t="s">
        <v>250</v>
      </c>
      <c r="AK22" t="s">
        <v>69</v>
      </c>
      <c r="AL22" t="s">
        <v>152</v>
      </c>
      <c r="AM22" t="s">
        <v>69</v>
      </c>
      <c r="AN22">
        <v>204.22800000000001</v>
      </c>
      <c r="AO22" t="s">
        <v>69</v>
      </c>
      <c r="AP22" t="s">
        <v>69</v>
      </c>
      <c r="AQ22">
        <v>627</v>
      </c>
      <c r="AR22" t="s">
        <v>69</v>
      </c>
      <c r="AS22" t="s">
        <v>153</v>
      </c>
      <c r="AT22" t="s">
        <v>152</v>
      </c>
      <c r="AU22" t="s">
        <v>153</v>
      </c>
      <c r="AV22">
        <v>181.191</v>
      </c>
      <c r="AW22" t="s">
        <v>153</v>
      </c>
      <c r="AX22" t="s">
        <v>153</v>
      </c>
      <c r="AY22">
        <v>633</v>
      </c>
      <c r="AZ22" t="s">
        <v>146</v>
      </c>
      <c r="BA22" t="s">
        <v>69</v>
      </c>
      <c r="BB22" t="s">
        <v>71</v>
      </c>
      <c r="BC22" t="s">
        <v>69</v>
      </c>
      <c r="BD22">
        <v>115.13200000000001</v>
      </c>
      <c r="BE22" t="s">
        <v>69</v>
      </c>
      <c r="BF22" t="s">
        <v>69</v>
      </c>
      <c r="BG22">
        <v>634</v>
      </c>
      <c r="BH22" t="s">
        <v>69</v>
      </c>
      <c r="BI22" t="s">
        <v>69</v>
      </c>
      <c r="BJ22" t="s">
        <v>152</v>
      </c>
      <c r="BK22" t="s">
        <v>69</v>
      </c>
      <c r="BL22">
        <v>181.191</v>
      </c>
      <c r="BM22" t="s">
        <v>69</v>
      </c>
      <c r="BN22" t="s">
        <v>69</v>
      </c>
      <c r="BO22">
        <v>653</v>
      </c>
      <c r="BP22" t="s">
        <v>115</v>
      </c>
      <c r="BQ22" t="s">
        <v>69</v>
      </c>
      <c r="BR22" t="s">
        <v>71</v>
      </c>
      <c r="BS22" t="s">
        <v>69</v>
      </c>
      <c r="BT22">
        <v>117.148</v>
      </c>
      <c r="BU22" t="s">
        <v>69</v>
      </c>
      <c r="BV22" t="s">
        <v>69</v>
      </c>
    </row>
    <row r="23" spans="1:74" x14ac:dyDescent="0.25">
      <c r="A23">
        <v>7</v>
      </c>
      <c r="B23" t="str">
        <f>HYPERLINK("http://www.ncbi.nlm.nih.gov/protein/XP_020930318.1","XP_020930318.1")</f>
        <v>XP_020930318.1</v>
      </c>
      <c r="C23">
        <v>86952</v>
      </c>
      <c r="D23" t="str">
        <f>HYPERLINK("http://www.ncbi.nlm.nih.gov/Taxonomy/Browser/wwwtax.cgi?mode=Info&amp;id=9823&amp;lvl=3&amp;lin=f&amp;keep=1&amp;srchmode=1&amp;unlock","9823")</f>
        <v>9823</v>
      </c>
      <c r="E23" t="s">
        <v>66</v>
      </c>
      <c r="F23" t="str">
        <f>HYPERLINK("http://www.ncbi.nlm.nih.gov/Taxonomy/Browser/wwwtax.cgi?mode=Info&amp;id=9823&amp;lvl=3&amp;lin=f&amp;keep=1&amp;srchmode=1&amp;unlock","Sus scrofa")</f>
        <v>Sus scrofa</v>
      </c>
      <c r="G23" t="s">
        <v>85</v>
      </c>
      <c r="H23" t="str">
        <f>HYPERLINK("http://www.ncbi.nlm.nih.gov/protein/XP_020930318.1","signal transducer and activator of transcription 1 isoform X3")</f>
        <v>signal transducer and activator of transcription 1 isoform X3</v>
      </c>
      <c r="I23" t="s">
        <v>268</v>
      </c>
      <c r="J23" t="s">
        <v>153</v>
      </c>
      <c r="K23">
        <v>584</v>
      </c>
      <c r="L23" t="s">
        <v>76</v>
      </c>
      <c r="M23" t="s">
        <v>69</v>
      </c>
      <c r="N23" t="s">
        <v>75</v>
      </c>
      <c r="O23" t="s">
        <v>69</v>
      </c>
      <c r="P23">
        <v>146.18899999999999</v>
      </c>
      <c r="Q23" t="s">
        <v>69</v>
      </c>
      <c r="R23" t="s">
        <v>69</v>
      </c>
      <c r="S23">
        <v>585</v>
      </c>
      <c r="T23" t="s">
        <v>119</v>
      </c>
      <c r="U23" t="s">
        <v>69</v>
      </c>
      <c r="V23" t="s">
        <v>120</v>
      </c>
      <c r="W23" t="s">
        <v>69</v>
      </c>
      <c r="X23">
        <v>147.131</v>
      </c>
      <c r="Y23" t="s">
        <v>69</v>
      </c>
      <c r="Z23" t="s">
        <v>69</v>
      </c>
      <c r="AA23">
        <v>588</v>
      </c>
      <c r="AB23" t="s">
        <v>74</v>
      </c>
      <c r="AC23" t="s">
        <v>69</v>
      </c>
      <c r="AD23" t="s">
        <v>75</v>
      </c>
      <c r="AE23" t="s">
        <v>69</v>
      </c>
      <c r="AF23">
        <v>174.203</v>
      </c>
      <c r="AG23" t="s">
        <v>69</v>
      </c>
      <c r="AH23" t="s">
        <v>69</v>
      </c>
      <c r="AI23">
        <v>616</v>
      </c>
      <c r="AJ23" t="s">
        <v>250</v>
      </c>
      <c r="AK23" t="s">
        <v>69</v>
      </c>
      <c r="AL23" t="s">
        <v>152</v>
      </c>
      <c r="AM23" t="s">
        <v>69</v>
      </c>
      <c r="AN23">
        <v>204.22800000000001</v>
      </c>
      <c r="AO23" t="s">
        <v>69</v>
      </c>
      <c r="AP23" t="s">
        <v>69</v>
      </c>
      <c r="AQ23">
        <v>627</v>
      </c>
      <c r="AR23" t="s">
        <v>69</v>
      </c>
      <c r="AS23" t="s">
        <v>153</v>
      </c>
      <c r="AT23" t="s">
        <v>152</v>
      </c>
      <c r="AU23" t="s">
        <v>153</v>
      </c>
      <c r="AV23">
        <v>181.191</v>
      </c>
      <c r="AW23" t="s">
        <v>153</v>
      </c>
      <c r="AX23" t="s">
        <v>153</v>
      </c>
      <c r="AY23">
        <v>633</v>
      </c>
      <c r="AZ23" t="s">
        <v>146</v>
      </c>
      <c r="BA23" t="s">
        <v>69</v>
      </c>
      <c r="BB23" t="s">
        <v>71</v>
      </c>
      <c r="BC23" t="s">
        <v>69</v>
      </c>
      <c r="BD23">
        <v>115.13200000000001</v>
      </c>
      <c r="BE23" t="s">
        <v>69</v>
      </c>
      <c r="BF23" t="s">
        <v>69</v>
      </c>
      <c r="BG23">
        <v>634</v>
      </c>
      <c r="BH23" t="s">
        <v>69</v>
      </c>
      <c r="BI23" t="s">
        <v>69</v>
      </c>
      <c r="BJ23" t="s">
        <v>152</v>
      </c>
      <c r="BK23" t="s">
        <v>69</v>
      </c>
      <c r="BL23">
        <v>181.191</v>
      </c>
      <c r="BM23" t="s">
        <v>69</v>
      </c>
      <c r="BN23" t="s">
        <v>69</v>
      </c>
      <c r="BO23">
        <v>653</v>
      </c>
      <c r="BP23" t="s">
        <v>115</v>
      </c>
      <c r="BQ23" t="s">
        <v>69</v>
      </c>
      <c r="BR23" t="s">
        <v>71</v>
      </c>
      <c r="BS23" t="s">
        <v>69</v>
      </c>
      <c r="BT23">
        <v>117.148</v>
      </c>
      <c r="BU23" t="s">
        <v>69</v>
      </c>
      <c r="BV23" t="s">
        <v>69</v>
      </c>
    </row>
    <row r="24" spans="1:74" x14ac:dyDescent="0.25">
      <c r="A24">
        <v>7</v>
      </c>
      <c r="B24" t="str">
        <f>HYPERLINK("http://www.ncbi.nlm.nih.gov/protein/XP_047399592.1","XP_047399592.1")</f>
        <v>XP_047399592.1</v>
      </c>
      <c r="C24">
        <v>74939</v>
      </c>
      <c r="D24" t="str">
        <f>HYPERLINK("http://www.ncbi.nlm.nih.gov/Taxonomy/Browser/wwwtax.cgi?mode=Info&amp;id=30640&amp;lvl=3&amp;lin=f&amp;keep=1&amp;srchmode=1&amp;unlock","30640")</f>
        <v>30640</v>
      </c>
      <c r="E24" t="s">
        <v>66</v>
      </c>
      <c r="F24" t="str">
        <f>HYPERLINK("http://www.ncbi.nlm.nih.gov/Taxonomy/Browser/wwwtax.cgi?mode=Info&amp;id=30640&amp;lvl=3&amp;lin=f&amp;keep=1&amp;srchmode=1&amp;unlock","Neosciurus carolinensis")</f>
        <v>Neosciurus carolinensis</v>
      </c>
      <c r="G24" t="s">
        <v>101</v>
      </c>
      <c r="H24" t="str">
        <f>HYPERLINK("http://www.ncbi.nlm.nih.gov/protein/XP_047399592.1","signal transducer and activator of transcription 1-alpha/beta")</f>
        <v>signal transducer and activator of transcription 1-alpha/beta</v>
      </c>
      <c r="I24" t="s">
        <v>268</v>
      </c>
      <c r="J24" t="s">
        <v>153</v>
      </c>
      <c r="K24">
        <v>584</v>
      </c>
      <c r="L24" t="s">
        <v>76</v>
      </c>
      <c r="M24" t="s">
        <v>69</v>
      </c>
      <c r="N24" t="s">
        <v>75</v>
      </c>
      <c r="O24" t="s">
        <v>69</v>
      </c>
      <c r="P24">
        <v>146.18899999999999</v>
      </c>
      <c r="Q24" t="s">
        <v>69</v>
      </c>
      <c r="R24" t="s">
        <v>69</v>
      </c>
      <c r="S24">
        <v>585</v>
      </c>
      <c r="T24" t="s">
        <v>119</v>
      </c>
      <c r="U24" t="s">
        <v>69</v>
      </c>
      <c r="V24" t="s">
        <v>120</v>
      </c>
      <c r="W24" t="s">
        <v>69</v>
      </c>
      <c r="X24">
        <v>147.131</v>
      </c>
      <c r="Y24" t="s">
        <v>69</v>
      </c>
      <c r="Z24" t="s">
        <v>69</v>
      </c>
      <c r="AA24">
        <v>588</v>
      </c>
      <c r="AB24" t="s">
        <v>74</v>
      </c>
      <c r="AC24" t="s">
        <v>69</v>
      </c>
      <c r="AD24" t="s">
        <v>75</v>
      </c>
      <c r="AE24" t="s">
        <v>69</v>
      </c>
      <c r="AF24">
        <v>174.203</v>
      </c>
      <c r="AG24" t="s">
        <v>69</v>
      </c>
      <c r="AH24" t="s">
        <v>69</v>
      </c>
      <c r="AI24">
        <v>616</v>
      </c>
      <c r="AJ24" t="s">
        <v>250</v>
      </c>
      <c r="AK24" t="s">
        <v>69</v>
      </c>
      <c r="AL24" t="s">
        <v>152</v>
      </c>
      <c r="AM24" t="s">
        <v>69</v>
      </c>
      <c r="AN24">
        <v>204.22800000000001</v>
      </c>
      <c r="AO24" t="s">
        <v>69</v>
      </c>
      <c r="AP24" t="s">
        <v>69</v>
      </c>
      <c r="AQ24">
        <v>627</v>
      </c>
      <c r="AR24" t="s">
        <v>69</v>
      </c>
      <c r="AS24" t="s">
        <v>153</v>
      </c>
      <c r="AT24" t="s">
        <v>152</v>
      </c>
      <c r="AU24" t="s">
        <v>153</v>
      </c>
      <c r="AV24">
        <v>181.191</v>
      </c>
      <c r="AW24" t="s">
        <v>153</v>
      </c>
      <c r="AX24" t="s">
        <v>153</v>
      </c>
      <c r="AY24">
        <v>633</v>
      </c>
      <c r="AZ24" t="s">
        <v>146</v>
      </c>
      <c r="BA24" t="s">
        <v>69</v>
      </c>
      <c r="BB24" t="s">
        <v>71</v>
      </c>
      <c r="BC24" t="s">
        <v>69</v>
      </c>
      <c r="BD24">
        <v>115.13200000000001</v>
      </c>
      <c r="BE24" t="s">
        <v>69</v>
      </c>
      <c r="BF24" t="s">
        <v>69</v>
      </c>
      <c r="BG24">
        <v>634</v>
      </c>
      <c r="BH24" t="s">
        <v>69</v>
      </c>
      <c r="BI24" t="s">
        <v>69</v>
      </c>
      <c r="BJ24" t="s">
        <v>152</v>
      </c>
      <c r="BK24" t="s">
        <v>69</v>
      </c>
      <c r="BL24">
        <v>181.191</v>
      </c>
      <c r="BM24" t="s">
        <v>69</v>
      </c>
      <c r="BN24" t="s">
        <v>69</v>
      </c>
      <c r="BO24">
        <v>653</v>
      </c>
      <c r="BP24" t="s">
        <v>115</v>
      </c>
      <c r="BQ24" t="s">
        <v>69</v>
      </c>
      <c r="BR24" t="s">
        <v>71</v>
      </c>
      <c r="BS24" t="s">
        <v>69</v>
      </c>
      <c r="BT24">
        <v>117.148</v>
      </c>
      <c r="BU24" t="s">
        <v>69</v>
      </c>
      <c r="BV24" t="s">
        <v>69</v>
      </c>
    </row>
    <row r="25" spans="1:74" x14ac:dyDescent="0.25">
      <c r="A25">
        <v>7</v>
      </c>
      <c r="B25" t="str">
        <f>HYPERLINK("http://www.ncbi.nlm.nih.gov/protein/XP_005202627.2","XP_005202627.2")</f>
        <v>XP_005202627.2</v>
      </c>
      <c r="C25">
        <v>136186</v>
      </c>
      <c r="D25" t="str">
        <f>HYPERLINK("http://www.ncbi.nlm.nih.gov/Taxonomy/Browser/wwwtax.cgi?mode=Info&amp;id=9913&amp;lvl=3&amp;lin=f&amp;keep=1&amp;srchmode=1&amp;unlock","9913")</f>
        <v>9913</v>
      </c>
      <c r="E25" t="s">
        <v>66</v>
      </c>
      <c r="F25" t="str">
        <f>HYPERLINK("http://www.ncbi.nlm.nih.gov/Taxonomy/Browser/wwwtax.cgi?mode=Info&amp;id=9913&amp;lvl=3&amp;lin=f&amp;keep=1&amp;srchmode=1&amp;unlock","Bos taurus")</f>
        <v>Bos taurus</v>
      </c>
      <c r="G25" t="s">
        <v>82</v>
      </c>
      <c r="H25" t="str">
        <f>HYPERLINK("http://www.ncbi.nlm.nih.gov/protein/XP_005202627.2","signal transducer and activator of transcription 1-alpha/beta isoform X1")</f>
        <v>signal transducer and activator of transcription 1-alpha/beta isoform X1</v>
      </c>
      <c r="I25" t="s">
        <v>268</v>
      </c>
      <c r="J25" t="s">
        <v>153</v>
      </c>
      <c r="K25">
        <v>584</v>
      </c>
      <c r="L25" t="s">
        <v>76</v>
      </c>
      <c r="M25" t="s">
        <v>69</v>
      </c>
      <c r="N25" t="s">
        <v>75</v>
      </c>
      <c r="O25" t="s">
        <v>69</v>
      </c>
      <c r="P25">
        <v>146.18899999999999</v>
      </c>
      <c r="Q25" t="s">
        <v>69</v>
      </c>
      <c r="R25" t="s">
        <v>69</v>
      </c>
      <c r="S25">
        <v>585</v>
      </c>
      <c r="T25" t="s">
        <v>119</v>
      </c>
      <c r="U25" t="s">
        <v>69</v>
      </c>
      <c r="V25" t="s">
        <v>120</v>
      </c>
      <c r="W25" t="s">
        <v>69</v>
      </c>
      <c r="X25">
        <v>147.131</v>
      </c>
      <c r="Y25" t="s">
        <v>69</v>
      </c>
      <c r="Z25" t="s">
        <v>69</v>
      </c>
      <c r="AA25">
        <v>588</v>
      </c>
      <c r="AB25" t="s">
        <v>74</v>
      </c>
      <c r="AC25" t="s">
        <v>69</v>
      </c>
      <c r="AD25" t="s">
        <v>75</v>
      </c>
      <c r="AE25" t="s">
        <v>69</v>
      </c>
      <c r="AF25">
        <v>174.203</v>
      </c>
      <c r="AG25" t="s">
        <v>69</v>
      </c>
      <c r="AH25" t="s">
        <v>69</v>
      </c>
      <c r="AI25">
        <v>616</v>
      </c>
      <c r="AJ25" t="s">
        <v>250</v>
      </c>
      <c r="AK25" t="s">
        <v>69</v>
      </c>
      <c r="AL25" t="s">
        <v>152</v>
      </c>
      <c r="AM25" t="s">
        <v>69</v>
      </c>
      <c r="AN25">
        <v>204.22800000000001</v>
      </c>
      <c r="AO25" t="s">
        <v>69</v>
      </c>
      <c r="AP25" t="s">
        <v>69</v>
      </c>
      <c r="AQ25">
        <v>627</v>
      </c>
      <c r="AR25" t="s">
        <v>69</v>
      </c>
      <c r="AS25" t="s">
        <v>153</v>
      </c>
      <c r="AT25" t="s">
        <v>152</v>
      </c>
      <c r="AU25" t="s">
        <v>153</v>
      </c>
      <c r="AV25">
        <v>181.191</v>
      </c>
      <c r="AW25" t="s">
        <v>153</v>
      </c>
      <c r="AX25" t="s">
        <v>153</v>
      </c>
      <c r="AY25">
        <v>633</v>
      </c>
      <c r="AZ25" t="s">
        <v>146</v>
      </c>
      <c r="BA25" t="s">
        <v>69</v>
      </c>
      <c r="BB25" t="s">
        <v>71</v>
      </c>
      <c r="BC25" t="s">
        <v>69</v>
      </c>
      <c r="BD25">
        <v>115.13200000000001</v>
      </c>
      <c r="BE25" t="s">
        <v>69</v>
      </c>
      <c r="BF25" t="s">
        <v>69</v>
      </c>
      <c r="BG25">
        <v>634</v>
      </c>
      <c r="BH25" t="s">
        <v>69</v>
      </c>
      <c r="BI25" t="s">
        <v>69</v>
      </c>
      <c r="BJ25" t="s">
        <v>152</v>
      </c>
      <c r="BK25" t="s">
        <v>69</v>
      </c>
      <c r="BL25">
        <v>181.191</v>
      </c>
      <c r="BM25" t="s">
        <v>69</v>
      </c>
      <c r="BN25" t="s">
        <v>69</v>
      </c>
      <c r="BO25">
        <v>653</v>
      </c>
      <c r="BP25" t="s">
        <v>115</v>
      </c>
      <c r="BQ25" t="s">
        <v>69</v>
      </c>
      <c r="BR25" t="s">
        <v>71</v>
      </c>
      <c r="BS25" t="s">
        <v>69</v>
      </c>
      <c r="BT25">
        <v>117.148</v>
      </c>
      <c r="BU25" t="s">
        <v>69</v>
      </c>
      <c r="BV25" t="s">
        <v>69</v>
      </c>
    </row>
    <row r="26" spans="1:74" x14ac:dyDescent="0.25">
      <c r="A26">
        <v>7</v>
      </c>
      <c r="B26" t="str">
        <f>HYPERLINK("http://www.ncbi.nlm.nih.gov/protein/XP_020757168.1","XP_020757168.1")</f>
        <v>XP_020757168.1</v>
      </c>
      <c r="C26">
        <v>48218</v>
      </c>
      <c r="D26" t="str">
        <f>HYPERLINK("http://www.ncbi.nlm.nih.gov/Taxonomy/Browser/wwwtax.cgi?mode=Info&amp;id=9880&amp;lvl=3&amp;lin=f&amp;keep=1&amp;srchmode=1&amp;unlock","9880")</f>
        <v>9880</v>
      </c>
      <c r="E26" t="s">
        <v>66</v>
      </c>
      <c r="F26" t="str">
        <f>HYPERLINK("http://www.ncbi.nlm.nih.gov/Taxonomy/Browser/wwwtax.cgi?mode=Info&amp;id=9880&amp;lvl=3&amp;lin=f&amp;keep=1&amp;srchmode=1&amp;unlock","Odocoileus virginianus texanus")</f>
        <v>Odocoileus virginianus texanus</v>
      </c>
      <c r="G26" t="s">
        <v>81</v>
      </c>
      <c r="H26" t="str">
        <f>HYPERLINK("http://www.ncbi.nlm.nih.gov/protein/XP_020757168.1","signal transducer and activator of transcription 1-alpha/beta")</f>
        <v>signal transducer and activator of transcription 1-alpha/beta</v>
      </c>
      <c r="I26" t="s">
        <v>268</v>
      </c>
      <c r="J26" t="s">
        <v>153</v>
      </c>
      <c r="K26">
        <v>584</v>
      </c>
      <c r="L26" t="s">
        <v>76</v>
      </c>
      <c r="M26" t="s">
        <v>69</v>
      </c>
      <c r="N26" t="s">
        <v>75</v>
      </c>
      <c r="O26" t="s">
        <v>69</v>
      </c>
      <c r="P26">
        <v>146.18899999999999</v>
      </c>
      <c r="Q26" t="s">
        <v>69</v>
      </c>
      <c r="R26" t="s">
        <v>69</v>
      </c>
      <c r="S26">
        <v>585</v>
      </c>
      <c r="T26" t="s">
        <v>119</v>
      </c>
      <c r="U26" t="s">
        <v>69</v>
      </c>
      <c r="V26" t="s">
        <v>120</v>
      </c>
      <c r="W26" t="s">
        <v>69</v>
      </c>
      <c r="X26">
        <v>147.131</v>
      </c>
      <c r="Y26" t="s">
        <v>69</v>
      </c>
      <c r="Z26" t="s">
        <v>69</v>
      </c>
      <c r="AA26">
        <v>588</v>
      </c>
      <c r="AB26" t="s">
        <v>74</v>
      </c>
      <c r="AC26" t="s">
        <v>69</v>
      </c>
      <c r="AD26" t="s">
        <v>75</v>
      </c>
      <c r="AE26" t="s">
        <v>69</v>
      </c>
      <c r="AF26">
        <v>174.203</v>
      </c>
      <c r="AG26" t="s">
        <v>69</v>
      </c>
      <c r="AH26" t="s">
        <v>69</v>
      </c>
      <c r="AI26">
        <v>616</v>
      </c>
      <c r="AJ26" t="s">
        <v>250</v>
      </c>
      <c r="AK26" t="s">
        <v>69</v>
      </c>
      <c r="AL26" t="s">
        <v>152</v>
      </c>
      <c r="AM26" t="s">
        <v>69</v>
      </c>
      <c r="AN26">
        <v>204.22800000000001</v>
      </c>
      <c r="AO26" t="s">
        <v>69</v>
      </c>
      <c r="AP26" t="s">
        <v>69</v>
      </c>
      <c r="AQ26">
        <v>627</v>
      </c>
      <c r="AR26" t="s">
        <v>69</v>
      </c>
      <c r="AS26" t="s">
        <v>153</v>
      </c>
      <c r="AT26" t="s">
        <v>152</v>
      </c>
      <c r="AU26" t="s">
        <v>153</v>
      </c>
      <c r="AV26">
        <v>181.191</v>
      </c>
      <c r="AW26" t="s">
        <v>153</v>
      </c>
      <c r="AX26" t="s">
        <v>153</v>
      </c>
      <c r="AY26">
        <v>633</v>
      </c>
      <c r="AZ26" t="s">
        <v>146</v>
      </c>
      <c r="BA26" t="s">
        <v>69</v>
      </c>
      <c r="BB26" t="s">
        <v>71</v>
      </c>
      <c r="BC26" t="s">
        <v>69</v>
      </c>
      <c r="BD26">
        <v>115.13200000000001</v>
      </c>
      <c r="BE26" t="s">
        <v>69</v>
      </c>
      <c r="BF26" t="s">
        <v>69</v>
      </c>
      <c r="BG26">
        <v>634</v>
      </c>
      <c r="BH26" t="s">
        <v>69</v>
      </c>
      <c r="BI26" t="s">
        <v>69</v>
      </c>
      <c r="BJ26" t="s">
        <v>152</v>
      </c>
      <c r="BK26" t="s">
        <v>69</v>
      </c>
      <c r="BL26">
        <v>181.191</v>
      </c>
      <c r="BM26" t="s">
        <v>69</v>
      </c>
      <c r="BN26" t="s">
        <v>69</v>
      </c>
      <c r="BO26">
        <v>653</v>
      </c>
      <c r="BP26" t="s">
        <v>115</v>
      </c>
      <c r="BQ26" t="s">
        <v>69</v>
      </c>
      <c r="BR26" t="s">
        <v>71</v>
      </c>
      <c r="BS26" t="s">
        <v>69</v>
      </c>
      <c r="BT26">
        <v>117.148</v>
      </c>
      <c r="BU26" t="s">
        <v>69</v>
      </c>
      <c r="BV26" t="s">
        <v>69</v>
      </c>
    </row>
    <row r="27" spans="1:74" x14ac:dyDescent="0.25">
      <c r="A27">
        <v>7</v>
      </c>
      <c r="B27" t="str">
        <f>HYPERLINK("http://www.ncbi.nlm.nih.gov/protein/XP_012979413.1","XP_012979413.1")</f>
        <v>XP_012979413.1</v>
      </c>
      <c r="C27">
        <v>54410</v>
      </c>
      <c r="D27" t="str">
        <f>HYPERLINK("http://www.ncbi.nlm.nih.gov/Taxonomy/Browser/wwwtax.cgi?mode=Info&amp;id=10036&amp;lvl=3&amp;lin=f&amp;keep=1&amp;srchmode=1&amp;unlock","10036")</f>
        <v>10036</v>
      </c>
      <c r="E27" t="s">
        <v>66</v>
      </c>
      <c r="F27" t="str">
        <f>HYPERLINK("http://www.ncbi.nlm.nih.gov/Taxonomy/Browser/wwwtax.cgi?mode=Info&amp;id=10036&amp;lvl=3&amp;lin=f&amp;keep=1&amp;srchmode=1&amp;unlock","Mesocricetus auratus")</f>
        <v>Mesocricetus auratus</v>
      </c>
      <c r="G27" t="s">
        <v>87</v>
      </c>
      <c r="H27" t="str">
        <f>HYPERLINK("http://www.ncbi.nlm.nih.gov/protein/XP_012979413.1","signal transducer and activator of transcription 1-alpha/beta isoform X1")</f>
        <v>signal transducer and activator of transcription 1-alpha/beta isoform X1</v>
      </c>
      <c r="I27" t="s">
        <v>268</v>
      </c>
      <c r="J27" t="s">
        <v>69</v>
      </c>
      <c r="K27">
        <v>584</v>
      </c>
      <c r="L27" t="s">
        <v>76</v>
      </c>
      <c r="M27" t="s">
        <v>69</v>
      </c>
      <c r="N27" t="s">
        <v>75</v>
      </c>
      <c r="O27" t="s">
        <v>69</v>
      </c>
      <c r="P27">
        <v>146.18899999999999</v>
      </c>
      <c r="Q27" t="s">
        <v>69</v>
      </c>
      <c r="R27" t="s">
        <v>69</v>
      </c>
      <c r="S27">
        <v>585</v>
      </c>
      <c r="T27" t="s">
        <v>119</v>
      </c>
      <c r="U27" t="s">
        <v>69</v>
      </c>
      <c r="V27" t="s">
        <v>120</v>
      </c>
      <c r="W27" t="s">
        <v>69</v>
      </c>
      <c r="X27">
        <v>147.131</v>
      </c>
      <c r="Y27" t="s">
        <v>69</v>
      </c>
      <c r="Z27" t="s">
        <v>69</v>
      </c>
      <c r="AA27">
        <v>588</v>
      </c>
      <c r="AB27" t="s">
        <v>74</v>
      </c>
      <c r="AC27" t="s">
        <v>69</v>
      </c>
      <c r="AD27" t="s">
        <v>75</v>
      </c>
      <c r="AE27" t="s">
        <v>69</v>
      </c>
      <c r="AF27">
        <v>174.203</v>
      </c>
      <c r="AG27" t="s">
        <v>69</v>
      </c>
      <c r="AH27" t="s">
        <v>69</v>
      </c>
      <c r="AI27">
        <v>616</v>
      </c>
      <c r="AJ27" t="s">
        <v>250</v>
      </c>
      <c r="AK27" t="s">
        <v>69</v>
      </c>
      <c r="AL27" t="s">
        <v>152</v>
      </c>
      <c r="AM27" t="s">
        <v>69</v>
      </c>
      <c r="AN27">
        <v>204.22800000000001</v>
      </c>
      <c r="AO27" t="s">
        <v>69</v>
      </c>
      <c r="AP27" t="s">
        <v>69</v>
      </c>
      <c r="AQ27">
        <v>627</v>
      </c>
      <c r="AR27" t="s">
        <v>156</v>
      </c>
      <c r="AS27" t="s">
        <v>69</v>
      </c>
      <c r="AT27" t="s">
        <v>120</v>
      </c>
      <c r="AU27" t="s">
        <v>69</v>
      </c>
      <c r="AV27">
        <v>133.10400000000001</v>
      </c>
      <c r="AW27" t="s">
        <v>69</v>
      </c>
      <c r="AX27" t="s">
        <v>69</v>
      </c>
      <c r="AY27">
        <v>633</v>
      </c>
      <c r="AZ27" t="s">
        <v>146</v>
      </c>
      <c r="BA27" t="s">
        <v>69</v>
      </c>
      <c r="BB27" t="s">
        <v>71</v>
      </c>
      <c r="BC27" t="s">
        <v>69</v>
      </c>
      <c r="BD27">
        <v>115.13200000000001</v>
      </c>
      <c r="BE27" t="s">
        <v>69</v>
      </c>
      <c r="BF27" t="s">
        <v>69</v>
      </c>
      <c r="BG27">
        <v>634</v>
      </c>
      <c r="BH27" t="s">
        <v>69</v>
      </c>
      <c r="BI27" t="s">
        <v>69</v>
      </c>
      <c r="BJ27" t="s">
        <v>152</v>
      </c>
      <c r="BK27" t="s">
        <v>69</v>
      </c>
      <c r="BL27">
        <v>181.191</v>
      </c>
      <c r="BM27" t="s">
        <v>69</v>
      </c>
      <c r="BN27" t="s">
        <v>69</v>
      </c>
      <c r="BO27">
        <v>653</v>
      </c>
      <c r="BP27" t="s">
        <v>115</v>
      </c>
      <c r="BQ27" t="s">
        <v>69</v>
      </c>
      <c r="BR27" t="s">
        <v>71</v>
      </c>
      <c r="BS27" t="s">
        <v>69</v>
      </c>
      <c r="BT27">
        <v>117.148</v>
      </c>
      <c r="BU27" t="s">
        <v>69</v>
      </c>
      <c r="BV27" t="s">
        <v>69</v>
      </c>
    </row>
    <row r="28" spans="1:74" x14ac:dyDescent="0.25">
      <c r="A28">
        <v>7</v>
      </c>
      <c r="B28" t="str">
        <f>HYPERLINK("http://www.ncbi.nlm.nih.gov/protein/NP_116001.2","NP_116001.2")</f>
        <v>NP_116001.2</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HYPERLINK("http://www.ncbi.nlm.nih.gov/protein/NP_116001.2","signal transducer and activator of transcription 1-alpha/beta isoform alpha")</f>
        <v>signal transducer and activator of transcription 1-alpha/beta isoform alpha</v>
      </c>
      <c r="I28" t="s">
        <v>268</v>
      </c>
      <c r="J28" t="s">
        <v>69</v>
      </c>
      <c r="K28">
        <v>584</v>
      </c>
      <c r="L28" t="s">
        <v>76</v>
      </c>
      <c r="M28" t="s">
        <v>69</v>
      </c>
      <c r="N28" t="s">
        <v>75</v>
      </c>
      <c r="O28" t="s">
        <v>69</v>
      </c>
      <c r="P28">
        <v>146.18899999999999</v>
      </c>
      <c r="Q28" t="s">
        <v>69</v>
      </c>
      <c r="R28" t="s">
        <v>69</v>
      </c>
      <c r="S28">
        <v>585</v>
      </c>
      <c r="T28" t="s">
        <v>119</v>
      </c>
      <c r="U28" t="s">
        <v>69</v>
      </c>
      <c r="V28" t="s">
        <v>120</v>
      </c>
      <c r="W28" t="s">
        <v>69</v>
      </c>
      <c r="X28">
        <v>147.131</v>
      </c>
      <c r="Y28" t="s">
        <v>69</v>
      </c>
      <c r="Z28" t="s">
        <v>69</v>
      </c>
      <c r="AA28">
        <v>588</v>
      </c>
      <c r="AB28" t="s">
        <v>74</v>
      </c>
      <c r="AC28" t="s">
        <v>69</v>
      </c>
      <c r="AD28" t="s">
        <v>75</v>
      </c>
      <c r="AE28" t="s">
        <v>69</v>
      </c>
      <c r="AF28">
        <v>174.203</v>
      </c>
      <c r="AG28" t="s">
        <v>69</v>
      </c>
      <c r="AH28" t="s">
        <v>69</v>
      </c>
      <c r="AI28">
        <v>616</v>
      </c>
      <c r="AJ28" t="s">
        <v>250</v>
      </c>
      <c r="AK28" t="s">
        <v>69</v>
      </c>
      <c r="AL28" t="s">
        <v>152</v>
      </c>
      <c r="AM28" t="s">
        <v>69</v>
      </c>
      <c r="AN28">
        <v>204.22800000000001</v>
      </c>
      <c r="AO28" t="s">
        <v>69</v>
      </c>
      <c r="AP28" t="s">
        <v>69</v>
      </c>
      <c r="AQ28">
        <v>627</v>
      </c>
      <c r="AR28" t="s">
        <v>156</v>
      </c>
      <c r="AS28" t="s">
        <v>69</v>
      </c>
      <c r="AT28" t="s">
        <v>120</v>
      </c>
      <c r="AU28" t="s">
        <v>69</v>
      </c>
      <c r="AV28">
        <v>133.10400000000001</v>
      </c>
      <c r="AW28" t="s">
        <v>69</v>
      </c>
      <c r="AX28" t="s">
        <v>69</v>
      </c>
      <c r="AY28">
        <v>633</v>
      </c>
      <c r="AZ28" t="s">
        <v>146</v>
      </c>
      <c r="BA28" t="s">
        <v>69</v>
      </c>
      <c r="BB28" t="s">
        <v>71</v>
      </c>
      <c r="BC28" t="s">
        <v>69</v>
      </c>
      <c r="BD28">
        <v>115.13200000000001</v>
      </c>
      <c r="BE28" t="s">
        <v>69</v>
      </c>
      <c r="BF28" t="s">
        <v>69</v>
      </c>
      <c r="BG28">
        <v>634</v>
      </c>
      <c r="BH28" t="s">
        <v>69</v>
      </c>
      <c r="BI28" t="s">
        <v>69</v>
      </c>
      <c r="BJ28" t="s">
        <v>152</v>
      </c>
      <c r="BK28" t="s">
        <v>69</v>
      </c>
      <c r="BL28">
        <v>181.191</v>
      </c>
      <c r="BM28" t="s">
        <v>69</v>
      </c>
      <c r="BN28" t="s">
        <v>69</v>
      </c>
      <c r="BO28">
        <v>653</v>
      </c>
      <c r="BP28" t="s">
        <v>115</v>
      </c>
      <c r="BQ28" t="s">
        <v>69</v>
      </c>
      <c r="BR28" t="s">
        <v>71</v>
      </c>
      <c r="BS28" t="s">
        <v>69</v>
      </c>
      <c r="BT28">
        <v>117.148</v>
      </c>
      <c r="BU28" t="s">
        <v>69</v>
      </c>
      <c r="BV28" t="s">
        <v>69</v>
      </c>
    </row>
    <row r="29" spans="1:74" x14ac:dyDescent="0.25">
      <c r="A29">
        <v>7</v>
      </c>
      <c r="B29" t="str">
        <f>HYPERLINK("http://www.ncbi.nlm.nih.gov/protein/NP_001192243.1","NP_001192243.1")</f>
        <v>NP_001192243.1</v>
      </c>
      <c r="C29">
        <v>337449</v>
      </c>
      <c r="D29" t="str">
        <f>HYPERLINK("http://www.ncbi.nlm.nih.gov/Taxonomy/Browser/wwwtax.cgi?mode=Info&amp;id=10090&amp;lvl=3&amp;lin=f&amp;keep=1&amp;srchmode=1&amp;unlock","10090")</f>
        <v>10090</v>
      </c>
      <c r="E29" t="s">
        <v>66</v>
      </c>
      <c r="F29" t="str">
        <f>HYPERLINK("http://www.ncbi.nlm.nih.gov/Taxonomy/Browser/wwwtax.cgi?mode=Info&amp;id=10090&amp;lvl=3&amp;lin=f&amp;keep=1&amp;srchmode=1&amp;unlock","Mus musculus")</f>
        <v>Mus musculus</v>
      </c>
      <c r="G29" t="s">
        <v>104</v>
      </c>
      <c r="H29" t="str">
        <f>HYPERLINK("http://www.ncbi.nlm.nih.gov/protein/NP_001192243.1","signal transducer and activator of transcription 1 isoform 2")</f>
        <v>signal transducer and activator of transcription 1 isoform 2</v>
      </c>
      <c r="I29" t="s">
        <v>268</v>
      </c>
      <c r="J29" t="s">
        <v>69</v>
      </c>
      <c r="K29">
        <v>584</v>
      </c>
      <c r="L29" t="s">
        <v>76</v>
      </c>
      <c r="M29" t="s">
        <v>69</v>
      </c>
      <c r="N29" t="s">
        <v>75</v>
      </c>
      <c r="O29" t="s">
        <v>69</v>
      </c>
      <c r="P29">
        <v>146.18899999999999</v>
      </c>
      <c r="Q29" t="s">
        <v>69</v>
      </c>
      <c r="R29" t="s">
        <v>69</v>
      </c>
      <c r="S29">
        <v>585</v>
      </c>
      <c r="T29" t="s">
        <v>119</v>
      </c>
      <c r="U29" t="s">
        <v>69</v>
      </c>
      <c r="V29" t="s">
        <v>120</v>
      </c>
      <c r="W29" t="s">
        <v>69</v>
      </c>
      <c r="X29">
        <v>147.131</v>
      </c>
      <c r="Y29" t="s">
        <v>69</v>
      </c>
      <c r="Z29" t="s">
        <v>69</v>
      </c>
      <c r="AA29">
        <v>588</v>
      </c>
      <c r="AB29" t="s">
        <v>74</v>
      </c>
      <c r="AC29" t="s">
        <v>69</v>
      </c>
      <c r="AD29" t="s">
        <v>75</v>
      </c>
      <c r="AE29" t="s">
        <v>69</v>
      </c>
      <c r="AF29">
        <v>174.203</v>
      </c>
      <c r="AG29" t="s">
        <v>69</v>
      </c>
      <c r="AH29" t="s">
        <v>69</v>
      </c>
      <c r="AI29">
        <v>616</v>
      </c>
      <c r="AJ29" t="s">
        <v>250</v>
      </c>
      <c r="AK29" t="s">
        <v>69</v>
      </c>
      <c r="AL29" t="s">
        <v>152</v>
      </c>
      <c r="AM29" t="s">
        <v>69</v>
      </c>
      <c r="AN29">
        <v>204.22800000000001</v>
      </c>
      <c r="AO29" t="s">
        <v>69</v>
      </c>
      <c r="AP29" t="s">
        <v>69</v>
      </c>
      <c r="AQ29">
        <v>627</v>
      </c>
      <c r="AR29" t="s">
        <v>156</v>
      </c>
      <c r="AS29" t="s">
        <v>69</v>
      </c>
      <c r="AT29" t="s">
        <v>120</v>
      </c>
      <c r="AU29" t="s">
        <v>69</v>
      </c>
      <c r="AV29">
        <v>133.10400000000001</v>
      </c>
      <c r="AW29" t="s">
        <v>69</v>
      </c>
      <c r="AX29" t="s">
        <v>69</v>
      </c>
      <c r="AY29">
        <v>633</v>
      </c>
      <c r="AZ29" t="s">
        <v>146</v>
      </c>
      <c r="BA29" t="s">
        <v>69</v>
      </c>
      <c r="BB29" t="s">
        <v>71</v>
      </c>
      <c r="BC29" t="s">
        <v>69</v>
      </c>
      <c r="BD29">
        <v>115.13200000000001</v>
      </c>
      <c r="BE29" t="s">
        <v>69</v>
      </c>
      <c r="BF29" t="s">
        <v>69</v>
      </c>
      <c r="BG29">
        <v>634</v>
      </c>
      <c r="BH29" t="s">
        <v>69</v>
      </c>
      <c r="BI29" t="s">
        <v>69</v>
      </c>
      <c r="BJ29" t="s">
        <v>152</v>
      </c>
      <c r="BK29" t="s">
        <v>69</v>
      </c>
      <c r="BL29">
        <v>181.191</v>
      </c>
      <c r="BM29" t="s">
        <v>69</v>
      </c>
      <c r="BN29" t="s">
        <v>69</v>
      </c>
      <c r="BO29">
        <v>653</v>
      </c>
      <c r="BP29" t="s">
        <v>115</v>
      </c>
      <c r="BQ29" t="s">
        <v>69</v>
      </c>
      <c r="BR29" t="s">
        <v>71</v>
      </c>
      <c r="BS29" t="s">
        <v>69</v>
      </c>
      <c r="BT29">
        <v>117.148</v>
      </c>
      <c r="BU29" t="s">
        <v>69</v>
      </c>
      <c r="BV29" t="s">
        <v>69</v>
      </c>
    </row>
    <row r="30" spans="1:74" x14ac:dyDescent="0.25">
      <c r="A30">
        <v>7</v>
      </c>
      <c r="B30" t="str">
        <f>HYPERLINK("http://www.ncbi.nlm.nih.gov/protein/XP_006974921.1","XP_006974921.1")</f>
        <v>XP_006974921.1</v>
      </c>
      <c r="C30">
        <v>54287</v>
      </c>
      <c r="D30" t="str">
        <f>HYPERLINK("http://www.ncbi.nlm.nih.gov/Taxonomy/Browser/wwwtax.cgi?mode=Info&amp;id=230844&amp;lvl=3&amp;lin=f&amp;keep=1&amp;srchmode=1&amp;unlock","230844")</f>
        <v>230844</v>
      </c>
      <c r="E30" t="s">
        <v>66</v>
      </c>
      <c r="F30" t="str">
        <f>HYPERLINK("http://www.ncbi.nlm.nih.gov/Taxonomy/Browser/wwwtax.cgi?mode=Info&amp;id=230844&amp;lvl=3&amp;lin=f&amp;keep=1&amp;srchmode=1&amp;unlock","Peromyscus maniculatus bairdii")</f>
        <v>Peromyscus maniculatus bairdii</v>
      </c>
      <c r="G30" t="s">
        <v>88</v>
      </c>
      <c r="H30" t="str">
        <f>HYPERLINK("http://www.ncbi.nlm.nih.gov/protein/XP_006974921.1","signal transducer and activator of transcription 1-alpha/beta")</f>
        <v>signal transducer and activator of transcription 1-alpha/beta</v>
      </c>
      <c r="I30" t="s">
        <v>268</v>
      </c>
      <c r="J30" t="s">
        <v>69</v>
      </c>
      <c r="K30">
        <v>584</v>
      </c>
      <c r="L30" t="s">
        <v>76</v>
      </c>
      <c r="M30" t="s">
        <v>69</v>
      </c>
      <c r="N30" t="s">
        <v>75</v>
      </c>
      <c r="O30" t="s">
        <v>69</v>
      </c>
      <c r="P30">
        <v>146.18899999999999</v>
      </c>
      <c r="Q30" t="s">
        <v>69</v>
      </c>
      <c r="R30" t="s">
        <v>69</v>
      </c>
      <c r="S30">
        <v>585</v>
      </c>
      <c r="T30" t="s">
        <v>119</v>
      </c>
      <c r="U30" t="s">
        <v>69</v>
      </c>
      <c r="V30" t="s">
        <v>120</v>
      </c>
      <c r="W30" t="s">
        <v>69</v>
      </c>
      <c r="X30">
        <v>147.131</v>
      </c>
      <c r="Y30" t="s">
        <v>69</v>
      </c>
      <c r="Z30" t="s">
        <v>69</v>
      </c>
      <c r="AA30">
        <v>588</v>
      </c>
      <c r="AB30" t="s">
        <v>74</v>
      </c>
      <c r="AC30" t="s">
        <v>69</v>
      </c>
      <c r="AD30" t="s">
        <v>75</v>
      </c>
      <c r="AE30" t="s">
        <v>69</v>
      </c>
      <c r="AF30">
        <v>174.203</v>
      </c>
      <c r="AG30" t="s">
        <v>69</v>
      </c>
      <c r="AH30" t="s">
        <v>69</v>
      </c>
      <c r="AI30">
        <v>616</v>
      </c>
      <c r="AJ30" t="s">
        <v>250</v>
      </c>
      <c r="AK30" t="s">
        <v>69</v>
      </c>
      <c r="AL30" t="s">
        <v>152</v>
      </c>
      <c r="AM30" t="s">
        <v>69</v>
      </c>
      <c r="AN30">
        <v>204.22800000000001</v>
      </c>
      <c r="AO30" t="s">
        <v>69</v>
      </c>
      <c r="AP30" t="s">
        <v>69</v>
      </c>
      <c r="AQ30">
        <v>627</v>
      </c>
      <c r="AR30" t="s">
        <v>156</v>
      </c>
      <c r="AS30" t="s">
        <v>69</v>
      </c>
      <c r="AT30" t="s">
        <v>120</v>
      </c>
      <c r="AU30" t="s">
        <v>69</v>
      </c>
      <c r="AV30">
        <v>133.10400000000001</v>
      </c>
      <c r="AW30" t="s">
        <v>69</v>
      </c>
      <c r="AX30" t="s">
        <v>69</v>
      </c>
      <c r="AY30">
        <v>633</v>
      </c>
      <c r="AZ30" t="s">
        <v>146</v>
      </c>
      <c r="BA30" t="s">
        <v>69</v>
      </c>
      <c r="BB30" t="s">
        <v>71</v>
      </c>
      <c r="BC30" t="s">
        <v>69</v>
      </c>
      <c r="BD30">
        <v>115.13200000000001</v>
      </c>
      <c r="BE30" t="s">
        <v>69</v>
      </c>
      <c r="BF30" t="s">
        <v>69</v>
      </c>
      <c r="BG30">
        <v>634</v>
      </c>
      <c r="BH30" t="s">
        <v>69</v>
      </c>
      <c r="BI30" t="s">
        <v>69</v>
      </c>
      <c r="BJ30" t="s">
        <v>152</v>
      </c>
      <c r="BK30" t="s">
        <v>69</v>
      </c>
      <c r="BL30">
        <v>181.191</v>
      </c>
      <c r="BM30" t="s">
        <v>69</v>
      </c>
      <c r="BN30" t="s">
        <v>69</v>
      </c>
      <c r="BO30">
        <v>653</v>
      </c>
      <c r="BP30" t="s">
        <v>115</v>
      </c>
      <c r="BQ30" t="s">
        <v>69</v>
      </c>
      <c r="BR30" t="s">
        <v>71</v>
      </c>
      <c r="BS30" t="s">
        <v>69</v>
      </c>
      <c r="BT30">
        <v>117.148</v>
      </c>
      <c r="BU30" t="s">
        <v>69</v>
      </c>
      <c r="BV30" t="s">
        <v>69</v>
      </c>
    </row>
    <row r="31" spans="1:74" x14ac:dyDescent="0.25">
      <c r="A31">
        <v>7</v>
      </c>
      <c r="B31" t="str">
        <f>HYPERLINK("http://www.ncbi.nlm.nih.gov/protein/CAD7685959.1","CAD7685959.1")</f>
        <v>CAD7685959.1</v>
      </c>
      <c r="C31">
        <v>27271</v>
      </c>
      <c r="D31" t="str">
        <f>HYPERLINK("http://www.ncbi.nlm.nih.gov/Taxonomy/Browser/wwwtax.cgi?mode=Info&amp;id=34880&amp;lvl=3&amp;lin=f&amp;keep=1&amp;srchmode=1&amp;unlock","34880")</f>
        <v>34880</v>
      </c>
      <c r="E31" t="s">
        <v>66</v>
      </c>
      <c r="F31" t="str">
        <f>HYPERLINK("http://www.ncbi.nlm.nih.gov/Taxonomy/Browser/wwwtax.cgi?mode=Info&amp;id=34880&amp;lvl=3&amp;lin=f&amp;keep=1&amp;srchmode=1&amp;unlock","Nyctereutes procyonoides")</f>
        <v>Nyctereutes procyonoides</v>
      </c>
      <c r="G31" t="s">
        <v>92</v>
      </c>
      <c r="H31" t="str">
        <f>HYPERLINK("http://www.ncbi.nlm.nih.gov/protein/CAD7685959.1","unnamed protein product")</f>
        <v>unnamed protein product</v>
      </c>
      <c r="I31" t="s">
        <v>268</v>
      </c>
      <c r="J31" t="s">
        <v>153</v>
      </c>
      <c r="K31">
        <v>611</v>
      </c>
      <c r="L31" t="s">
        <v>76</v>
      </c>
      <c r="M31" t="s">
        <v>69</v>
      </c>
      <c r="N31" t="s">
        <v>75</v>
      </c>
      <c r="O31" t="s">
        <v>69</v>
      </c>
      <c r="P31">
        <v>146.18899999999999</v>
      </c>
      <c r="Q31" t="s">
        <v>69</v>
      </c>
      <c r="R31" t="s">
        <v>69</v>
      </c>
      <c r="S31">
        <v>612</v>
      </c>
      <c r="T31" t="s">
        <v>119</v>
      </c>
      <c r="U31" t="s">
        <v>69</v>
      </c>
      <c r="V31" t="s">
        <v>120</v>
      </c>
      <c r="W31" t="s">
        <v>69</v>
      </c>
      <c r="X31">
        <v>147.131</v>
      </c>
      <c r="Y31" t="s">
        <v>69</v>
      </c>
      <c r="Z31" t="s">
        <v>69</v>
      </c>
      <c r="AA31">
        <v>615</v>
      </c>
      <c r="AB31" t="s">
        <v>74</v>
      </c>
      <c r="AC31" t="s">
        <v>69</v>
      </c>
      <c r="AD31" t="s">
        <v>75</v>
      </c>
      <c r="AE31" t="s">
        <v>69</v>
      </c>
      <c r="AF31">
        <v>174.203</v>
      </c>
      <c r="AG31" t="s">
        <v>69</v>
      </c>
      <c r="AH31" t="s">
        <v>69</v>
      </c>
      <c r="AI31">
        <v>643</v>
      </c>
      <c r="AJ31" t="s">
        <v>250</v>
      </c>
      <c r="AK31" t="s">
        <v>69</v>
      </c>
      <c r="AL31" t="s">
        <v>152</v>
      </c>
      <c r="AM31" t="s">
        <v>69</v>
      </c>
      <c r="AN31">
        <v>204.22800000000001</v>
      </c>
      <c r="AO31" t="s">
        <v>69</v>
      </c>
      <c r="AP31" t="s">
        <v>69</v>
      </c>
      <c r="AQ31">
        <v>654</v>
      </c>
      <c r="AR31" t="s">
        <v>69</v>
      </c>
      <c r="AS31" t="s">
        <v>153</v>
      </c>
      <c r="AT31" t="s">
        <v>152</v>
      </c>
      <c r="AU31" t="s">
        <v>153</v>
      </c>
      <c r="AV31">
        <v>181.191</v>
      </c>
      <c r="AW31" t="s">
        <v>153</v>
      </c>
      <c r="AX31" t="s">
        <v>153</v>
      </c>
      <c r="AY31">
        <v>660</v>
      </c>
      <c r="AZ31" t="s">
        <v>146</v>
      </c>
      <c r="BA31" t="s">
        <v>69</v>
      </c>
      <c r="BB31" t="s">
        <v>71</v>
      </c>
      <c r="BC31" t="s">
        <v>69</v>
      </c>
      <c r="BD31">
        <v>115.13200000000001</v>
      </c>
      <c r="BE31" t="s">
        <v>69</v>
      </c>
      <c r="BF31" t="s">
        <v>69</v>
      </c>
      <c r="BG31">
        <v>661</v>
      </c>
      <c r="BH31" t="s">
        <v>69</v>
      </c>
      <c r="BI31" t="s">
        <v>69</v>
      </c>
      <c r="BJ31" t="s">
        <v>152</v>
      </c>
      <c r="BK31" t="s">
        <v>69</v>
      </c>
      <c r="BL31">
        <v>181.191</v>
      </c>
      <c r="BM31" t="s">
        <v>69</v>
      </c>
      <c r="BN31" t="s">
        <v>69</v>
      </c>
      <c r="BO31">
        <v>680</v>
      </c>
      <c r="BP31" t="s">
        <v>115</v>
      </c>
      <c r="BQ31" t="s">
        <v>69</v>
      </c>
      <c r="BR31" t="s">
        <v>71</v>
      </c>
      <c r="BS31" t="s">
        <v>69</v>
      </c>
      <c r="BT31">
        <v>117.148</v>
      </c>
      <c r="BU31" t="s">
        <v>69</v>
      </c>
      <c r="BV31" t="s">
        <v>69</v>
      </c>
    </row>
    <row r="32" spans="1:74" x14ac:dyDescent="0.25">
      <c r="A32">
        <v>7</v>
      </c>
      <c r="B32" t="str">
        <f>HYPERLINK("http://www.ncbi.nlm.nih.gov/protein/XP_014380837.1","XP_014380837.1")</f>
        <v>XP_014380837.1</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HYPERLINK("http://www.ncbi.nlm.nih.gov/protein/XP_014380837.1","signal transducer and activator of transcription 1-alpha/beta")</f>
        <v>signal transducer and activator of transcription 1-alpha/beta</v>
      </c>
      <c r="I32" t="s">
        <v>268</v>
      </c>
      <c r="J32" t="s">
        <v>69</v>
      </c>
      <c r="K32">
        <v>586</v>
      </c>
      <c r="L32" t="s">
        <v>76</v>
      </c>
      <c r="M32" t="s">
        <v>69</v>
      </c>
      <c r="N32" t="s">
        <v>75</v>
      </c>
      <c r="O32" t="s">
        <v>69</v>
      </c>
      <c r="P32">
        <v>146.18899999999999</v>
      </c>
      <c r="Q32" t="s">
        <v>69</v>
      </c>
      <c r="R32" t="s">
        <v>69</v>
      </c>
      <c r="S32">
        <v>587</v>
      </c>
      <c r="T32" t="s">
        <v>119</v>
      </c>
      <c r="U32" t="s">
        <v>69</v>
      </c>
      <c r="V32" t="s">
        <v>120</v>
      </c>
      <c r="W32" t="s">
        <v>69</v>
      </c>
      <c r="X32">
        <v>147.131</v>
      </c>
      <c r="Y32" t="s">
        <v>69</v>
      </c>
      <c r="Z32" t="s">
        <v>69</v>
      </c>
      <c r="AA32">
        <v>590</v>
      </c>
      <c r="AB32" t="s">
        <v>74</v>
      </c>
      <c r="AC32" t="s">
        <v>69</v>
      </c>
      <c r="AD32" t="s">
        <v>75</v>
      </c>
      <c r="AE32" t="s">
        <v>69</v>
      </c>
      <c r="AF32">
        <v>174.203</v>
      </c>
      <c r="AG32" t="s">
        <v>69</v>
      </c>
      <c r="AH32" t="s">
        <v>69</v>
      </c>
      <c r="AI32">
        <v>618</v>
      </c>
      <c r="AJ32" t="s">
        <v>250</v>
      </c>
      <c r="AK32" t="s">
        <v>69</v>
      </c>
      <c r="AL32" t="s">
        <v>152</v>
      </c>
      <c r="AM32" t="s">
        <v>69</v>
      </c>
      <c r="AN32">
        <v>204.22800000000001</v>
      </c>
      <c r="AO32" t="s">
        <v>69</v>
      </c>
      <c r="AP32" t="s">
        <v>69</v>
      </c>
      <c r="AQ32">
        <v>627</v>
      </c>
      <c r="AR32" t="s">
        <v>147</v>
      </c>
      <c r="AS32" t="s">
        <v>153</v>
      </c>
      <c r="AT32" t="s">
        <v>148</v>
      </c>
      <c r="AU32" t="s">
        <v>153</v>
      </c>
      <c r="AV32">
        <v>146.14599999999999</v>
      </c>
      <c r="AW32" t="s">
        <v>69</v>
      </c>
      <c r="AX32" t="s">
        <v>69</v>
      </c>
      <c r="AY32">
        <v>633</v>
      </c>
      <c r="AZ32" t="s">
        <v>146</v>
      </c>
      <c r="BA32" t="s">
        <v>69</v>
      </c>
      <c r="BB32" t="s">
        <v>71</v>
      </c>
      <c r="BC32" t="s">
        <v>69</v>
      </c>
      <c r="BD32">
        <v>115.13200000000001</v>
      </c>
      <c r="BE32" t="s">
        <v>69</v>
      </c>
      <c r="BF32" t="s">
        <v>69</v>
      </c>
      <c r="BG32">
        <v>634</v>
      </c>
      <c r="BH32" t="s">
        <v>69</v>
      </c>
      <c r="BI32" t="s">
        <v>69</v>
      </c>
      <c r="BJ32" t="s">
        <v>152</v>
      </c>
      <c r="BK32" t="s">
        <v>69</v>
      </c>
      <c r="BL32">
        <v>181.191</v>
      </c>
      <c r="BM32" t="s">
        <v>69</v>
      </c>
      <c r="BN32" t="s">
        <v>69</v>
      </c>
      <c r="BO32">
        <v>653</v>
      </c>
      <c r="BP32" t="s">
        <v>115</v>
      </c>
      <c r="BQ32" t="s">
        <v>69</v>
      </c>
      <c r="BR32" t="s">
        <v>71</v>
      </c>
      <c r="BS32" t="s">
        <v>69</v>
      </c>
      <c r="BT32">
        <v>117.148</v>
      </c>
      <c r="BU32" t="s">
        <v>69</v>
      </c>
      <c r="BV32" t="s">
        <v>69</v>
      </c>
    </row>
    <row r="33" spans="1:74" x14ac:dyDescent="0.25">
      <c r="A33">
        <v>7</v>
      </c>
      <c r="B33" t="str">
        <f>HYPERLINK("http://www.ncbi.nlm.nih.gov/protein/XP_005501767.1","XP_005501767.1")</f>
        <v>XP_005501767.1</v>
      </c>
      <c r="C33">
        <v>50957</v>
      </c>
      <c r="D33" t="str">
        <f>HYPERLINK("http://www.ncbi.nlm.nih.gov/Taxonomy/Browser/wwwtax.cgi?mode=Info&amp;id=8932&amp;lvl=3&amp;lin=f&amp;keep=1&amp;srchmode=1&amp;unlock","8932")</f>
        <v>8932</v>
      </c>
      <c r="E33" t="s">
        <v>107</v>
      </c>
      <c r="F33" t="str">
        <f>HYPERLINK("http://www.ncbi.nlm.nih.gov/Taxonomy/Browser/wwwtax.cgi?mode=Info&amp;id=8932&amp;lvl=3&amp;lin=f&amp;keep=1&amp;srchmode=1&amp;unlock","Columba livia")</f>
        <v>Columba livia</v>
      </c>
      <c r="G33" t="s">
        <v>108</v>
      </c>
      <c r="H33" t="str">
        <f>HYPERLINK("http://www.ncbi.nlm.nih.gov/protein/XP_005501767.1","signal transducer and activator of transcription 1-alpha/beta")</f>
        <v>signal transducer and activator of transcription 1-alpha/beta</v>
      </c>
      <c r="I33" t="s">
        <v>268</v>
      </c>
      <c r="J33" t="s">
        <v>69</v>
      </c>
      <c r="K33">
        <v>588</v>
      </c>
      <c r="L33" t="s">
        <v>76</v>
      </c>
      <c r="M33" t="s">
        <v>69</v>
      </c>
      <c r="N33" t="s">
        <v>75</v>
      </c>
      <c r="O33" t="s">
        <v>69</v>
      </c>
      <c r="P33">
        <v>146.18899999999999</v>
      </c>
      <c r="Q33" t="s">
        <v>69</v>
      </c>
      <c r="R33" t="s">
        <v>69</v>
      </c>
      <c r="S33">
        <v>589</v>
      </c>
      <c r="T33" t="s">
        <v>119</v>
      </c>
      <c r="U33" t="s">
        <v>69</v>
      </c>
      <c r="V33" t="s">
        <v>120</v>
      </c>
      <c r="W33" t="s">
        <v>69</v>
      </c>
      <c r="X33">
        <v>147.131</v>
      </c>
      <c r="Y33" t="s">
        <v>69</v>
      </c>
      <c r="Z33" t="s">
        <v>69</v>
      </c>
      <c r="AA33">
        <v>592</v>
      </c>
      <c r="AB33" t="s">
        <v>74</v>
      </c>
      <c r="AC33" t="s">
        <v>69</v>
      </c>
      <c r="AD33" t="s">
        <v>75</v>
      </c>
      <c r="AE33" t="s">
        <v>69</v>
      </c>
      <c r="AF33">
        <v>174.203</v>
      </c>
      <c r="AG33" t="s">
        <v>69</v>
      </c>
      <c r="AH33" t="s">
        <v>69</v>
      </c>
      <c r="AI33">
        <v>620</v>
      </c>
      <c r="AJ33" t="s">
        <v>250</v>
      </c>
      <c r="AK33" t="s">
        <v>69</v>
      </c>
      <c r="AL33" t="s">
        <v>152</v>
      </c>
      <c r="AM33" t="s">
        <v>69</v>
      </c>
      <c r="AN33">
        <v>204.22800000000001</v>
      </c>
      <c r="AO33" t="s">
        <v>69</v>
      </c>
      <c r="AP33" t="s">
        <v>69</v>
      </c>
      <c r="AQ33">
        <v>629</v>
      </c>
      <c r="AR33" t="s">
        <v>147</v>
      </c>
      <c r="AS33" t="s">
        <v>153</v>
      </c>
      <c r="AT33" t="s">
        <v>148</v>
      </c>
      <c r="AU33" t="s">
        <v>153</v>
      </c>
      <c r="AV33">
        <v>146.14599999999999</v>
      </c>
      <c r="AW33" t="s">
        <v>69</v>
      </c>
      <c r="AX33" t="s">
        <v>69</v>
      </c>
      <c r="AY33">
        <v>635</v>
      </c>
      <c r="AZ33" t="s">
        <v>146</v>
      </c>
      <c r="BA33" t="s">
        <v>69</v>
      </c>
      <c r="BB33" t="s">
        <v>71</v>
      </c>
      <c r="BC33" t="s">
        <v>69</v>
      </c>
      <c r="BD33">
        <v>115.13200000000001</v>
      </c>
      <c r="BE33" t="s">
        <v>69</v>
      </c>
      <c r="BF33" t="s">
        <v>69</v>
      </c>
      <c r="BG33">
        <v>636</v>
      </c>
      <c r="BH33" t="s">
        <v>69</v>
      </c>
      <c r="BI33" t="s">
        <v>69</v>
      </c>
      <c r="BJ33" t="s">
        <v>152</v>
      </c>
      <c r="BK33" t="s">
        <v>69</v>
      </c>
      <c r="BL33">
        <v>181.191</v>
      </c>
      <c r="BM33" t="s">
        <v>69</v>
      </c>
      <c r="BN33" t="s">
        <v>69</v>
      </c>
      <c r="BO33">
        <v>655</v>
      </c>
      <c r="BP33" t="s">
        <v>115</v>
      </c>
      <c r="BQ33" t="s">
        <v>69</v>
      </c>
      <c r="BR33" t="s">
        <v>71</v>
      </c>
      <c r="BS33" t="s">
        <v>69</v>
      </c>
      <c r="BT33">
        <v>117.148</v>
      </c>
      <c r="BU33" t="s">
        <v>69</v>
      </c>
      <c r="BV33" t="s">
        <v>69</v>
      </c>
    </row>
    <row r="34" spans="1:74" x14ac:dyDescent="0.25">
      <c r="A34">
        <v>7</v>
      </c>
      <c r="B34" t="str">
        <f>HYPERLINK("http://www.ncbi.nlm.nih.gov/protein/OCT63933.1","OCT63933.1")</f>
        <v>OCT63933.1</v>
      </c>
      <c r="C34">
        <v>146185</v>
      </c>
      <c r="D34" t="str">
        <f>HYPERLINK("http://www.ncbi.nlm.nih.gov/Taxonomy/Browser/wwwtax.cgi?mode=Info&amp;id=8355&amp;lvl=3&amp;lin=f&amp;keep=1&amp;srchmode=1&amp;unlock","8355")</f>
        <v>8355</v>
      </c>
      <c r="E34" t="s">
        <v>111</v>
      </c>
      <c r="F34" t="str">
        <f>HYPERLINK("http://www.ncbi.nlm.nih.gov/Taxonomy/Browser/wwwtax.cgi?mode=Info&amp;id=8355&amp;lvl=3&amp;lin=f&amp;keep=1&amp;srchmode=1&amp;unlock","Xenopus laevis")</f>
        <v>Xenopus laevis</v>
      </c>
      <c r="G34" t="s">
        <v>112</v>
      </c>
      <c r="H34" t="str">
        <f>HYPERLINK("http://www.ncbi.nlm.nih.gov/protein/OCT63933.1","hypothetical protein XELAEV_18045030mg")</f>
        <v>hypothetical protein XELAEV_18045030mg</v>
      </c>
      <c r="I34" t="s">
        <v>268</v>
      </c>
      <c r="J34" t="s">
        <v>69</v>
      </c>
      <c r="K34">
        <v>585</v>
      </c>
      <c r="L34" t="s">
        <v>76</v>
      </c>
      <c r="M34" t="s">
        <v>69</v>
      </c>
      <c r="N34" t="s">
        <v>75</v>
      </c>
      <c r="O34" t="s">
        <v>69</v>
      </c>
      <c r="P34">
        <v>146.18899999999999</v>
      </c>
      <c r="Q34" t="s">
        <v>69</v>
      </c>
      <c r="R34" t="s">
        <v>69</v>
      </c>
      <c r="S34">
        <v>586</v>
      </c>
      <c r="T34" t="s">
        <v>119</v>
      </c>
      <c r="U34" t="s">
        <v>69</v>
      </c>
      <c r="V34" t="s">
        <v>120</v>
      </c>
      <c r="W34" t="s">
        <v>69</v>
      </c>
      <c r="X34">
        <v>147.131</v>
      </c>
      <c r="Y34" t="s">
        <v>69</v>
      </c>
      <c r="Z34" t="s">
        <v>69</v>
      </c>
      <c r="AA34">
        <v>589</v>
      </c>
      <c r="AB34" t="s">
        <v>74</v>
      </c>
      <c r="AC34" t="s">
        <v>69</v>
      </c>
      <c r="AD34" t="s">
        <v>75</v>
      </c>
      <c r="AE34" t="s">
        <v>69</v>
      </c>
      <c r="AF34">
        <v>174.203</v>
      </c>
      <c r="AG34" t="s">
        <v>69</v>
      </c>
      <c r="AH34" t="s">
        <v>69</v>
      </c>
      <c r="AI34">
        <v>617</v>
      </c>
      <c r="AJ34" t="s">
        <v>250</v>
      </c>
      <c r="AK34" t="s">
        <v>69</v>
      </c>
      <c r="AL34" t="s">
        <v>152</v>
      </c>
      <c r="AM34" t="s">
        <v>69</v>
      </c>
      <c r="AN34">
        <v>204.22800000000001</v>
      </c>
      <c r="AO34" t="s">
        <v>69</v>
      </c>
      <c r="AP34" t="s">
        <v>69</v>
      </c>
      <c r="AQ34">
        <v>626</v>
      </c>
      <c r="AR34" t="s">
        <v>72</v>
      </c>
      <c r="AS34" t="s">
        <v>153</v>
      </c>
      <c r="AT34" t="s">
        <v>71</v>
      </c>
      <c r="AU34" t="s">
        <v>153</v>
      </c>
      <c r="AV34">
        <v>131.17500000000001</v>
      </c>
      <c r="AW34" t="s">
        <v>69</v>
      </c>
      <c r="AX34" t="s">
        <v>69</v>
      </c>
      <c r="AY34">
        <v>632</v>
      </c>
      <c r="AZ34" t="s">
        <v>146</v>
      </c>
      <c r="BA34" t="s">
        <v>69</v>
      </c>
      <c r="BB34" t="s">
        <v>71</v>
      </c>
      <c r="BC34" t="s">
        <v>69</v>
      </c>
      <c r="BD34">
        <v>115.13200000000001</v>
      </c>
      <c r="BE34" t="s">
        <v>69</v>
      </c>
      <c r="BF34" t="s">
        <v>69</v>
      </c>
      <c r="BG34">
        <v>633</v>
      </c>
      <c r="BH34" t="s">
        <v>69</v>
      </c>
      <c r="BI34" t="s">
        <v>69</v>
      </c>
      <c r="BJ34" t="s">
        <v>152</v>
      </c>
      <c r="BK34" t="s">
        <v>69</v>
      </c>
      <c r="BL34">
        <v>181.191</v>
      </c>
      <c r="BM34" t="s">
        <v>69</v>
      </c>
      <c r="BN34" t="s">
        <v>69</v>
      </c>
      <c r="BO34">
        <v>652</v>
      </c>
      <c r="BP34" t="s">
        <v>115</v>
      </c>
      <c r="BQ34" t="s">
        <v>69</v>
      </c>
      <c r="BR34" t="s">
        <v>71</v>
      </c>
      <c r="BS34" t="s">
        <v>69</v>
      </c>
      <c r="BT34">
        <v>117.148</v>
      </c>
      <c r="BU34" t="s">
        <v>69</v>
      </c>
      <c r="BV34" t="s">
        <v>69</v>
      </c>
    </row>
    <row r="35" spans="1:74" x14ac:dyDescent="0.25">
      <c r="A35">
        <v>7</v>
      </c>
      <c r="B35" t="str">
        <f>HYPERLINK("http://www.ncbi.nlm.nih.gov/protein/XP_039538142.1","XP_039538142.1")</f>
        <v>XP_039538142.1</v>
      </c>
      <c r="C35">
        <v>96114</v>
      </c>
      <c r="D35" t="str">
        <f>HYPERLINK("http://www.ncbi.nlm.nih.gov/Taxonomy/Browser/wwwtax.cgi?mode=Info&amp;id=90988&amp;lvl=3&amp;lin=f&amp;keep=1&amp;srchmode=1&amp;unlock","90988")</f>
        <v>90988</v>
      </c>
      <c r="E35" t="s">
        <v>113</v>
      </c>
      <c r="F35" t="str">
        <f>HYPERLINK("http://www.ncbi.nlm.nih.gov/Taxonomy/Browser/wwwtax.cgi?mode=Info&amp;id=90988&amp;lvl=3&amp;lin=f&amp;keep=1&amp;srchmode=1&amp;unlock","Pimephales promelas")</f>
        <v>Pimephales promelas</v>
      </c>
      <c r="G35" t="s">
        <v>114</v>
      </c>
      <c r="H35" t="str">
        <f>HYPERLINK("http://www.ncbi.nlm.nih.gov/protein/XP_039538142.1","signal transducer and activator of transcription 1a")</f>
        <v>signal transducer and activator of transcription 1a</v>
      </c>
      <c r="I35" t="s">
        <v>268</v>
      </c>
      <c r="J35" t="s">
        <v>69</v>
      </c>
      <c r="K35">
        <v>582</v>
      </c>
      <c r="L35" t="s">
        <v>76</v>
      </c>
      <c r="M35" t="s">
        <v>69</v>
      </c>
      <c r="N35" t="s">
        <v>75</v>
      </c>
      <c r="O35" t="s">
        <v>69</v>
      </c>
      <c r="P35">
        <v>146.18899999999999</v>
      </c>
      <c r="Q35" t="s">
        <v>69</v>
      </c>
      <c r="R35" t="s">
        <v>69</v>
      </c>
      <c r="S35">
        <v>583</v>
      </c>
      <c r="T35" t="s">
        <v>156</v>
      </c>
      <c r="U35" t="s">
        <v>153</v>
      </c>
      <c r="V35" t="s">
        <v>120</v>
      </c>
      <c r="W35" t="s">
        <v>69</v>
      </c>
      <c r="X35">
        <v>133.10400000000001</v>
      </c>
      <c r="Y35" t="s">
        <v>69</v>
      </c>
      <c r="Z35" t="s">
        <v>69</v>
      </c>
      <c r="AA35">
        <v>586</v>
      </c>
      <c r="AB35" t="s">
        <v>76</v>
      </c>
      <c r="AC35" t="s">
        <v>153</v>
      </c>
      <c r="AD35" t="s">
        <v>75</v>
      </c>
      <c r="AE35" t="s">
        <v>69</v>
      </c>
      <c r="AF35">
        <v>146.18899999999999</v>
      </c>
      <c r="AG35" t="s">
        <v>69</v>
      </c>
      <c r="AH35" t="s">
        <v>69</v>
      </c>
      <c r="AI35">
        <v>614</v>
      </c>
      <c r="AJ35" t="s">
        <v>250</v>
      </c>
      <c r="AK35" t="s">
        <v>69</v>
      </c>
      <c r="AL35" t="s">
        <v>152</v>
      </c>
      <c r="AM35" t="s">
        <v>69</v>
      </c>
      <c r="AN35">
        <v>204.22800000000001</v>
      </c>
      <c r="AO35" t="s">
        <v>69</v>
      </c>
      <c r="AP35" t="s">
        <v>69</v>
      </c>
      <c r="AQ35">
        <v>624</v>
      </c>
      <c r="AR35" t="s">
        <v>147</v>
      </c>
      <c r="AS35" t="s">
        <v>153</v>
      </c>
      <c r="AT35" t="s">
        <v>148</v>
      </c>
      <c r="AU35" t="s">
        <v>153</v>
      </c>
      <c r="AV35">
        <v>146.14599999999999</v>
      </c>
      <c r="AW35" t="s">
        <v>69</v>
      </c>
      <c r="AX35" t="s">
        <v>69</v>
      </c>
      <c r="AY35">
        <v>630</v>
      </c>
      <c r="AZ35" t="s">
        <v>146</v>
      </c>
      <c r="BA35" t="s">
        <v>69</v>
      </c>
      <c r="BB35" t="s">
        <v>71</v>
      </c>
      <c r="BC35" t="s">
        <v>69</v>
      </c>
      <c r="BD35">
        <v>115.13200000000001</v>
      </c>
      <c r="BE35" t="s">
        <v>69</v>
      </c>
      <c r="BF35" t="s">
        <v>69</v>
      </c>
      <c r="BG35">
        <v>631</v>
      </c>
      <c r="BH35" t="s">
        <v>69</v>
      </c>
      <c r="BI35" t="s">
        <v>69</v>
      </c>
      <c r="BJ35" t="s">
        <v>152</v>
      </c>
      <c r="BK35" t="s">
        <v>69</v>
      </c>
      <c r="BL35">
        <v>181.191</v>
      </c>
      <c r="BM35" t="s">
        <v>69</v>
      </c>
      <c r="BN35" t="s">
        <v>69</v>
      </c>
      <c r="BO35">
        <v>650</v>
      </c>
      <c r="BP35" t="s">
        <v>115</v>
      </c>
      <c r="BQ35" t="s">
        <v>69</v>
      </c>
      <c r="BR35" t="s">
        <v>71</v>
      </c>
      <c r="BS35" t="s">
        <v>69</v>
      </c>
      <c r="BT35">
        <v>117.148</v>
      </c>
      <c r="BU35" t="s">
        <v>69</v>
      </c>
      <c r="BV35" t="s">
        <v>69</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H32"/>
  <sheetViews>
    <sheetView workbookViewId="0"/>
  </sheetViews>
  <sheetFormatPr defaultRowHeight="15" x14ac:dyDescent="0.25"/>
  <cols>
    <col min="8" max="8" width="39.7109375" customWidth="1"/>
  </cols>
  <sheetData>
    <row r="1" spans="1:13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c r="DK1" t="s">
        <v>184</v>
      </c>
      <c r="DL1" t="s">
        <v>185</v>
      </c>
      <c r="DM1" t="s">
        <v>186</v>
      </c>
      <c r="DN1" t="s">
        <v>187</v>
      </c>
      <c r="DO1" t="s">
        <v>188</v>
      </c>
      <c r="DP1" t="s">
        <v>189</v>
      </c>
      <c r="DQ1" t="s">
        <v>190</v>
      </c>
      <c r="DR1" t="s">
        <v>191</v>
      </c>
      <c r="DS1" t="s">
        <v>192</v>
      </c>
      <c r="DT1" t="s">
        <v>193</v>
      </c>
      <c r="DU1" t="s">
        <v>194</v>
      </c>
      <c r="DV1" t="s">
        <v>195</v>
      </c>
      <c r="DW1" t="s">
        <v>196</v>
      </c>
      <c r="DX1" t="s">
        <v>197</v>
      </c>
      <c r="DY1" t="s">
        <v>198</v>
      </c>
      <c r="DZ1" t="s">
        <v>199</v>
      </c>
      <c r="EA1" t="s">
        <v>200</v>
      </c>
      <c r="EB1" t="s">
        <v>201</v>
      </c>
      <c r="EC1" t="s">
        <v>202</v>
      </c>
      <c r="ED1" t="s">
        <v>203</v>
      </c>
      <c r="EE1" t="s">
        <v>204</v>
      </c>
      <c r="EF1" t="s">
        <v>205</v>
      </c>
      <c r="EG1" t="s">
        <v>206</v>
      </c>
      <c r="EH1" t="s">
        <v>207</v>
      </c>
    </row>
    <row r="2" spans="1:138" x14ac:dyDescent="0.25">
      <c r="A2">
        <v>7</v>
      </c>
      <c r="B2" t="str">
        <f>HYPERLINK("http://www.ncbi.nlm.nih.gov/protein/NP_005647.3","NP_005647.3")</f>
        <v>NP_005647.3</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HYPERLINK("http://www.ncbi.nlm.nih.gov/protein/NP_005647.3","transmembrane protease serine 2 isoform 2")</f>
        <v>transmembrane protease serine 2 isoform 2</v>
      </c>
      <c r="I2" t="s">
        <v>269</v>
      </c>
      <c r="J2" t="s">
        <v>69</v>
      </c>
      <c r="K2">
        <v>296</v>
      </c>
      <c r="L2" t="s">
        <v>157</v>
      </c>
      <c r="M2" t="s">
        <v>69</v>
      </c>
      <c r="N2" t="s">
        <v>75</v>
      </c>
      <c r="O2" t="s">
        <v>69</v>
      </c>
      <c r="P2">
        <v>155.15600000000001</v>
      </c>
      <c r="Q2" t="s">
        <v>69</v>
      </c>
      <c r="R2" t="s">
        <v>69</v>
      </c>
      <c r="S2">
        <v>299</v>
      </c>
      <c r="T2" t="s">
        <v>119</v>
      </c>
      <c r="U2" t="s">
        <v>69</v>
      </c>
      <c r="V2" t="s">
        <v>120</v>
      </c>
      <c r="W2" t="s">
        <v>69</v>
      </c>
      <c r="X2">
        <v>147.131</v>
      </c>
      <c r="Y2" t="s">
        <v>69</v>
      </c>
      <c r="Z2" t="s">
        <v>69</v>
      </c>
      <c r="AA2">
        <v>338</v>
      </c>
      <c r="AB2" t="s">
        <v>156</v>
      </c>
      <c r="AC2" t="s">
        <v>69</v>
      </c>
      <c r="AD2" t="s">
        <v>120</v>
      </c>
      <c r="AE2" t="s">
        <v>69</v>
      </c>
      <c r="AF2">
        <v>133.10400000000001</v>
      </c>
      <c r="AG2" t="s">
        <v>69</v>
      </c>
      <c r="AH2" t="s">
        <v>69</v>
      </c>
      <c r="AI2">
        <v>340</v>
      </c>
      <c r="AJ2" t="s">
        <v>76</v>
      </c>
      <c r="AK2" t="s">
        <v>69</v>
      </c>
      <c r="AL2" t="s">
        <v>75</v>
      </c>
      <c r="AM2" t="s">
        <v>69</v>
      </c>
      <c r="AN2">
        <v>146.18899999999999</v>
      </c>
      <c r="AO2" t="s">
        <v>69</v>
      </c>
      <c r="AP2" t="s">
        <v>69</v>
      </c>
      <c r="AQ2">
        <v>341</v>
      </c>
      <c r="AR2" t="s">
        <v>149</v>
      </c>
      <c r="AS2" t="s">
        <v>69</v>
      </c>
      <c r="AT2" t="s">
        <v>150</v>
      </c>
      <c r="AU2" t="s">
        <v>69</v>
      </c>
      <c r="AV2">
        <v>119.119</v>
      </c>
      <c r="AW2" t="s">
        <v>69</v>
      </c>
      <c r="AX2" t="s">
        <v>69</v>
      </c>
      <c r="AY2">
        <v>342</v>
      </c>
      <c r="AZ2" t="s">
        <v>76</v>
      </c>
      <c r="BA2" t="s">
        <v>69</v>
      </c>
      <c r="BB2" t="s">
        <v>75</v>
      </c>
      <c r="BC2" t="s">
        <v>69</v>
      </c>
      <c r="BD2">
        <v>146.18899999999999</v>
      </c>
      <c r="BE2" t="s">
        <v>69</v>
      </c>
      <c r="BF2" t="s">
        <v>69</v>
      </c>
      <c r="BG2">
        <v>389</v>
      </c>
      <c r="BH2" t="s">
        <v>119</v>
      </c>
      <c r="BI2" t="s">
        <v>69</v>
      </c>
      <c r="BJ2" t="s">
        <v>120</v>
      </c>
      <c r="BK2" t="s">
        <v>69</v>
      </c>
      <c r="BL2">
        <v>147.131</v>
      </c>
      <c r="BM2" t="s">
        <v>69</v>
      </c>
      <c r="BN2" t="s">
        <v>69</v>
      </c>
      <c r="BO2">
        <v>391</v>
      </c>
      <c r="BP2" t="s">
        <v>70</v>
      </c>
      <c r="BQ2" t="s">
        <v>69</v>
      </c>
      <c r="BR2" t="s">
        <v>71</v>
      </c>
      <c r="BS2" t="s">
        <v>69</v>
      </c>
      <c r="BT2">
        <v>75.066999999999993</v>
      </c>
      <c r="BU2" t="s">
        <v>69</v>
      </c>
      <c r="BV2" t="s">
        <v>69</v>
      </c>
      <c r="BW2">
        <v>392</v>
      </c>
      <c r="BX2" t="s">
        <v>76</v>
      </c>
      <c r="BY2" t="s">
        <v>69</v>
      </c>
      <c r="BZ2" t="s">
        <v>75</v>
      </c>
      <c r="CA2" t="s">
        <v>69</v>
      </c>
      <c r="CB2">
        <v>146.18899999999999</v>
      </c>
      <c r="CC2" t="s">
        <v>69</v>
      </c>
      <c r="CD2" t="s">
        <v>69</v>
      </c>
      <c r="CE2">
        <v>436</v>
      </c>
      <c r="CF2" t="s">
        <v>155</v>
      </c>
      <c r="CG2" t="s">
        <v>69</v>
      </c>
      <c r="CH2" t="s">
        <v>150</v>
      </c>
      <c r="CI2" t="s">
        <v>69</v>
      </c>
      <c r="CJ2">
        <v>105.093</v>
      </c>
      <c r="CK2" t="s">
        <v>69</v>
      </c>
      <c r="CL2" t="s">
        <v>69</v>
      </c>
      <c r="CM2">
        <v>438</v>
      </c>
      <c r="CN2" t="s">
        <v>147</v>
      </c>
      <c r="CO2" t="s">
        <v>69</v>
      </c>
      <c r="CP2" t="s">
        <v>148</v>
      </c>
      <c r="CQ2" t="s">
        <v>69</v>
      </c>
      <c r="CR2">
        <v>146.14599999999999</v>
      </c>
      <c r="CS2" t="s">
        <v>69</v>
      </c>
      <c r="CT2" t="s">
        <v>69</v>
      </c>
      <c r="CU2">
        <v>439</v>
      </c>
      <c r="CV2" t="s">
        <v>70</v>
      </c>
      <c r="CW2" t="s">
        <v>69</v>
      </c>
      <c r="CX2" t="s">
        <v>71</v>
      </c>
      <c r="CY2" t="s">
        <v>69</v>
      </c>
      <c r="CZ2">
        <v>75.066999999999993</v>
      </c>
      <c r="DA2" t="s">
        <v>69</v>
      </c>
      <c r="DB2" t="s">
        <v>69</v>
      </c>
      <c r="DC2">
        <v>441</v>
      </c>
      <c r="DD2" t="s">
        <v>155</v>
      </c>
      <c r="DE2" t="s">
        <v>69</v>
      </c>
      <c r="DF2" t="s">
        <v>150</v>
      </c>
      <c r="DG2" t="s">
        <v>69</v>
      </c>
      <c r="DH2">
        <v>105.093</v>
      </c>
      <c r="DI2" t="s">
        <v>69</v>
      </c>
      <c r="DJ2" t="s">
        <v>69</v>
      </c>
      <c r="DK2">
        <v>460</v>
      </c>
      <c r="DL2" t="s">
        <v>155</v>
      </c>
      <c r="DM2" t="s">
        <v>69</v>
      </c>
      <c r="DN2" t="s">
        <v>150</v>
      </c>
      <c r="DO2" t="s">
        <v>69</v>
      </c>
      <c r="DP2">
        <v>105.093</v>
      </c>
      <c r="DQ2" t="s">
        <v>69</v>
      </c>
      <c r="DR2" t="s">
        <v>69</v>
      </c>
      <c r="DS2">
        <v>462</v>
      </c>
      <c r="DT2" t="s">
        <v>70</v>
      </c>
      <c r="DU2" t="s">
        <v>69</v>
      </c>
      <c r="DV2" t="s">
        <v>71</v>
      </c>
      <c r="DW2" t="s">
        <v>69</v>
      </c>
      <c r="DX2">
        <v>75.066999999999993</v>
      </c>
      <c r="DY2" t="s">
        <v>69</v>
      </c>
      <c r="DZ2" t="s">
        <v>69</v>
      </c>
      <c r="EA2">
        <v>464</v>
      </c>
      <c r="EB2" t="s">
        <v>70</v>
      </c>
      <c r="EC2" t="s">
        <v>69</v>
      </c>
      <c r="ED2" t="s">
        <v>71</v>
      </c>
      <c r="EE2" t="s">
        <v>69</v>
      </c>
      <c r="EF2">
        <v>75.066999999999993</v>
      </c>
      <c r="EG2" t="s">
        <v>69</v>
      </c>
      <c r="EH2" t="s">
        <v>69</v>
      </c>
    </row>
    <row r="3" spans="1:138" x14ac:dyDescent="0.25">
      <c r="A3">
        <v>7</v>
      </c>
      <c r="B3" t="str">
        <f>HYPERLINK("http://www.ncbi.nlm.nih.gov/protein/XP_004062887.1","XP_004062887.1")</f>
        <v>XP_004062887.1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HYPERLINK("http://www.ncbi.nlm.nih.gov/protein/XP_004062887.1","transmembrane protease serine 2 isoform X2")</f>
        <v>transmembrane protease serine 2 isoform X2</v>
      </c>
      <c r="I3" t="s">
        <v>269</v>
      </c>
      <c r="J3" t="s">
        <v>69</v>
      </c>
      <c r="K3">
        <v>296</v>
      </c>
      <c r="L3" t="s">
        <v>157</v>
      </c>
      <c r="M3" t="s">
        <v>69</v>
      </c>
      <c r="N3" t="s">
        <v>75</v>
      </c>
      <c r="O3" t="s">
        <v>69</v>
      </c>
      <c r="P3">
        <v>155.15600000000001</v>
      </c>
      <c r="Q3" t="s">
        <v>69</v>
      </c>
      <c r="R3" t="s">
        <v>69</v>
      </c>
      <c r="S3">
        <v>299</v>
      </c>
      <c r="T3" t="s">
        <v>119</v>
      </c>
      <c r="U3" t="s">
        <v>69</v>
      </c>
      <c r="V3" t="s">
        <v>120</v>
      </c>
      <c r="W3" t="s">
        <v>69</v>
      </c>
      <c r="X3">
        <v>147.131</v>
      </c>
      <c r="Y3" t="s">
        <v>69</v>
      </c>
      <c r="Z3" t="s">
        <v>69</v>
      </c>
      <c r="AA3">
        <v>338</v>
      </c>
      <c r="AB3" t="s">
        <v>156</v>
      </c>
      <c r="AC3" t="s">
        <v>69</v>
      </c>
      <c r="AD3" t="s">
        <v>120</v>
      </c>
      <c r="AE3" t="s">
        <v>69</v>
      </c>
      <c r="AF3">
        <v>133.10400000000001</v>
      </c>
      <c r="AG3" t="s">
        <v>69</v>
      </c>
      <c r="AH3" t="s">
        <v>69</v>
      </c>
      <c r="AI3">
        <v>340</v>
      </c>
      <c r="AJ3" t="s">
        <v>76</v>
      </c>
      <c r="AK3" t="s">
        <v>69</v>
      </c>
      <c r="AL3" t="s">
        <v>75</v>
      </c>
      <c r="AM3" t="s">
        <v>69</v>
      </c>
      <c r="AN3">
        <v>146.18899999999999</v>
      </c>
      <c r="AO3" t="s">
        <v>69</v>
      </c>
      <c r="AP3" t="s">
        <v>69</v>
      </c>
      <c r="AQ3">
        <v>341</v>
      </c>
      <c r="AR3" t="s">
        <v>149</v>
      </c>
      <c r="AS3" t="s">
        <v>69</v>
      </c>
      <c r="AT3" t="s">
        <v>150</v>
      </c>
      <c r="AU3" t="s">
        <v>69</v>
      </c>
      <c r="AV3">
        <v>119.119</v>
      </c>
      <c r="AW3" t="s">
        <v>69</v>
      </c>
      <c r="AX3" t="s">
        <v>69</v>
      </c>
      <c r="AY3">
        <v>342</v>
      </c>
      <c r="AZ3" t="s">
        <v>76</v>
      </c>
      <c r="BA3" t="s">
        <v>69</v>
      </c>
      <c r="BB3" t="s">
        <v>75</v>
      </c>
      <c r="BC3" t="s">
        <v>69</v>
      </c>
      <c r="BD3">
        <v>146.18899999999999</v>
      </c>
      <c r="BE3" t="s">
        <v>69</v>
      </c>
      <c r="BF3" t="s">
        <v>69</v>
      </c>
      <c r="BG3">
        <v>389</v>
      </c>
      <c r="BH3" t="s">
        <v>119</v>
      </c>
      <c r="BI3" t="s">
        <v>69</v>
      </c>
      <c r="BJ3" t="s">
        <v>120</v>
      </c>
      <c r="BK3" t="s">
        <v>69</v>
      </c>
      <c r="BL3">
        <v>147.131</v>
      </c>
      <c r="BM3" t="s">
        <v>69</v>
      </c>
      <c r="BN3" t="s">
        <v>69</v>
      </c>
      <c r="BO3">
        <v>391</v>
      </c>
      <c r="BP3" t="s">
        <v>70</v>
      </c>
      <c r="BQ3" t="s">
        <v>69</v>
      </c>
      <c r="BR3" t="s">
        <v>71</v>
      </c>
      <c r="BS3" t="s">
        <v>69</v>
      </c>
      <c r="BT3">
        <v>75.066999999999993</v>
      </c>
      <c r="BU3" t="s">
        <v>69</v>
      </c>
      <c r="BV3" t="s">
        <v>69</v>
      </c>
      <c r="BW3">
        <v>392</v>
      </c>
      <c r="BX3" t="s">
        <v>76</v>
      </c>
      <c r="BY3" t="s">
        <v>69</v>
      </c>
      <c r="BZ3" t="s">
        <v>75</v>
      </c>
      <c r="CA3" t="s">
        <v>69</v>
      </c>
      <c r="CB3">
        <v>146.18899999999999</v>
      </c>
      <c r="CC3" t="s">
        <v>69</v>
      </c>
      <c r="CD3" t="s">
        <v>69</v>
      </c>
      <c r="CE3">
        <v>436</v>
      </c>
      <c r="CF3" t="s">
        <v>155</v>
      </c>
      <c r="CG3" t="s">
        <v>69</v>
      </c>
      <c r="CH3" t="s">
        <v>150</v>
      </c>
      <c r="CI3" t="s">
        <v>69</v>
      </c>
      <c r="CJ3">
        <v>105.093</v>
      </c>
      <c r="CK3" t="s">
        <v>69</v>
      </c>
      <c r="CL3" t="s">
        <v>69</v>
      </c>
      <c r="CM3">
        <v>438</v>
      </c>
      <c r="CN3" t="s">
        <v>147</v>
      </c>
      <c r="CO3" t="s">
        <v>69</v>
      </c>
      <c r="CP3" t="s">
        <v>148</v>
      </c>
      <c r="CQ3" t="s">
        <v>69</v>
      </c>
      <c r="CR3">
        <v>146.14599999999999</v>
      </c>
      <c r="CS3" t="s">
        <v>69</v>
      </c>
      <c r="CT3" t="s">
        <v>69</v>
      </c>
      <c r="CU3">
        <v>439</v>
      </c>
      <c r="CV3" t="s">
        <v>70</v>
      </c>
      <c r="CW3" t="s">
        <v>69</v>
      </c>
      <c r="CX3" t="s">
        <v>71</v>
      </c>
      <c r="CY3" t="s">
        <v>69</v>
      </c>
      <c r="CZ3">
        <v>75.066999999999993</v>
      </c>
      <c r="DA3" t="s">
        <v>69</v>
      </c>
      <c r="DB3" t="s">
        <v>69</v>
      </c>
      <c r="DC3">
        <v>441</v>
      </c>
      <c r="DD3" t="s">
        <v>155</v>
      </c>
      <c r="DE3" t="s">
        <v>69</v>
      </c>
      <c r="DF3" t="s">
        <v>150</v>
      </c>
      <c r="DG3" t="s">
        <v>69</v>
      </c>
      <c r="DH3">
        <v>105.093</v>
      </c>
      <c r="DI3" t="s">
        <v>69</v>
      </c>
      <c r="DJ3" t="s">
        <v>69</v>
      </c>
      <c r="DK3">
        <v>460</v>
      </c>
      <c r="DL3" t="s">
        <v>155</v>
      </c>
      <c r="DM3" t="s">
        <v>69</v>
      </c>
      <c r="DN3" t="s">
        <v>150</v>
      </c>
      <c r="DO3" t="s">
        <v>69</v>
      </c>
      <c r="DP3">
        <v>105.093</v>
      </c>
      <c r="DQ3" t="s">
        <v>69</v>
      </c>
      <c r="DR3" t="s">
        <v>69</v>
      </c>
      <c r="DS3">
        <v>462</v>
      </c>
      <c r="DT3" t="s">
        <v>70</v>
      </c>
      <c r="DU3" t="s">
        <v>69</v>
      </c>
      <c r="DV3" t="s">
        <v>71</v>
      </c>
      <c r="DW3" t="s">
        <v>69</v>
      </c>
      <c r="DX3">
        <v>75.066999999999993</v>
      </c>
      <c r="DY3" t="s">
        <v>69</v>
      </c>
      <c r="DZ3" t="s">
        <v>69</v>
      </c>
      <c r="EA3">
        <v>464</v>
      </c>
      <c r="EB3" t="s">
        <v>70</v>
      </c>
      <c r="EC3" t="s">
        <v>69</v>
      </c>
      <c r="ED3" t="s">
        <v>71</v>
      </c>
      <c r="EE3" t="s">
        <v>69</v>
      </c>
      <c r="EF3">
        <v>75.066999999999993</v>
      </c>
      <c r="EG3" t="s">
        <v>69</v>
      </c>
      <c r="EH3" t="s">
        <v>69</v>
      </c>
    </row>
    <row r="4" spans="1:138" x14ac:dyDescent="0.25">
      <c r="A4">
        <v>7</v>
      </c>
      <c r="B4" t="str">
        <f>HYPERLINK("http://www.ncbi.nlm.nih.gov/protein/XP_009200480.2","XP_009200480.2")</f>
        <v>XP_009200480.2</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HYPERLINK("http://www.ncbi.nlm.nih.gov/protein/XP_009200480.2","transmembrane protease serine 2")</f>
        <v>transmembrane protease serine 2</v>
      </c>
      <c r="I4" t="s">
        <v>269</v>
      </c>
      <c r="J4" t="s">
        <v>69</v>
      </c>
      <c r="K4">
        <v>329</v>
      </c>
      <c r="L4" t="s">
        <v>157</v>
      </c>
      <c r="M4" t="s">
        <v>69</v>
      </c>
      <c r="N4" t="s">
        <v>75</v>
      </c>
      <c r="O4" t="s">
        <v>69</v>
      </c>
      <c r="P4">
        <v>155.15600000000001</v>
      </c>
      <c r="Q4" t="s">
        <v>69</v>
      </c>
      <c r="R4" t="s">
        <v>69</v>
      </c>
      <c r="S4">
        <v>332</v>
      </c>
      <c r="T4" t="s">
        <v>119</v>
      </c>
      <c r="U4" t="s">
        <v>69</v>
      </c>
      <c r="V4" t="s">
        <v>120</v>
      </c>
      <c r="W4" t="s">
        <v>69</v>
      </c>
      <c r="X4">
        <v>147.131</v>
      </c>
      <c r="Y4" t="s">
        <v>69</v>
      </c>
      <c r="Z4" t="s">
        <v>69</v>
      </c>
      <c r="AA4">
        <v>371</v>
      </c>
      <c r="AB4" t="s">
        <v>156</v>
      </c>
      <c r="AC4" t="s">
        <v>69</v>
      </c>
      <c r="AD4" t="s">
        <v>120</v>
      </c>
      <c r="AE4" t="s">
        <v>69</v>
      </c>
      <c r="AF4">
        <v>133.10400000000001</v>
      </c>
      <c r="AG4" t="s">
        <v>69</v>
      </c>
      <c r="AH4" t="s">
        <v>69</v>
      </c>
      <c r="AI4">
        <v>373</v>
      </c>
      <c r="AJ4" t="s">
        <v>76</v>
      </c>
      <c r="AK4" t="s">
        <v>69</v>
      </c>
      <c r="AL4" t="s">
        <v>75</v>
      </c>
      <c r="AM4" t="s">
        <v>69</v>
      </c>
      <c r="AN4">
        <v>146.18899999999999</v>
      </c>
      <c r="AO4" t="s">
        <v>69</v>
      </c>
      <c r="AP4" t="s">
        <v>69</v>
      </c>
      <c r="AQ4">
        <v>374</v>
      </c>
      <c r="AR4" t="s">
        <v>149</v>
      </c>
      <c r="AS4" t="s">
        <v>69</v>
      </c>
      <c r="AT4" t="s">
        <v>150</v>
      </c>
      <c r="AU4" t="s">
        <v>69</v>
      </c>
      <c r="AV4">
        <v>119.119</v>
      </c>
      <c r="AW4" t="s">
        <v>69</v>
      </c>
      <c r="AX4" t="s">
        <v>69</v>
      </c>
      <c r="AY4">
        <v>375</v>
      </c>
      <c r="AZ4" t="s">
        <v>76</v>
      </c>
      <c r="BA4" t="s">
        <v>69</v>
      </c>
      <c r="BB4" t="s">
        <v>75</v>
      </c>
      <c r="BC4" t="s">
        <v>69</v>
      </c>
      <c r="BD4">
        <v>146.18899999999999</v>
      </c>
      <c r="BE4" t="s">
        <v>69</v>
      </c>
      <c r="BF4" t="s">
        <v>69</v>
      </c>
      <c r="BG4">
        <v>422</v>
      </c>
      <c r="BH4" t="s">
        <v>119</v>
      </c>
      <c r="BI4" t="s">
        <v>69</v>
      </c>
      <c r="BJ4" t="s">
        <v>120</v>
      </c>
      <c r="BK4" t="s">
        <v>69</v>
      </c>
      <c r="BL4">
        <v>147.131</v>
      </c>
      <c r="BM4" t="s">
        <v>69</v>
      </c>
      <c r="BN4" t="s">
        <v>69</v>
      </c>
      <c r="BO4">
        <v>424</v>
      </c>
      <c r="BP4" t="s">
        <v>70</v>
      </c>
      <c r="BQ4" t="s">
        <v>69</v>
      </c>
      <c r="BR4" t="s">
        <v>71</v>
      </c>
      <c r="BS4" t="s">
        <v>69</v>
      </c>
      <c r="BT4">
        <v>75.066999999999993</v>
      </c>
      <c r="BU4" t="s">
        <v>69</v>
      </c>
      <c r="BV4" t="s">
        <v>69</v>
      </c>
      <c r="BW4">
        <v>425</v>
      </c>
      <c r="BX4" t="s">
        <v>76</v>
      </c>
      <c r="BY4" t="s">
        <v>69</v>
      </c>
      <c r="BZ4" t="s">
        <v>75</v>
      </c>
      <c r="CA4" t="s">
        <v>69</v>
      </c>
      <c r="CB4">
        <v>146.18899999999999</v>
      </c>
      <c r="CC4" t="s">
        <v>69</v>
      </c>
      <c r="CD4" t="s">
        <v>69</v>
      </c>
      <c r="CE4">
        <v>469</v>
      </c>
      <c r="CF4" t="s">
        <v>155</v>
      </c>
      <c r="CG4" t="s">
        <v>69</v>
      </c>
      <c r="CH4" t="s">
        <v>150</v>
      </c>
      <c r="CI4" t="s">
        <v>69</v>
      </c>
      <c r="CJ4">
        <v>105.093</v>
      </c>
      <c r="CK4" t="s">
        <v>69</v>
      </c>
      <c r="CL4" t="s">
        <v>69</v>
      </c>
      <c r="CM4">
        <v>471</v>
      </c>
      <c r="CN4" t="s">
        <v>147</v>
      </c>
      <c r="CO4" t="s">
        <v>69</v>
      </c>
      <c r="CP4" t="s">
        <v>148</v>
      </c>
      <c r="CQ4" t="s">
        <v>69</v>
      </c>
      <c r="CR4">
        <v>146.14599999999999</v>
      </c>
      <c r="CS4" t="s">
        <v>69</v>
      </c>
      <c r="CT4" t="s">
        <v>69</v>
      </c>
      <c r="CU4">
        <v>472</v>
      </c>
      <c r="CV4" t="s">
        <v>70</v>
      </c>
      <c r="CW4" t="s">
        <v>69</v>
      </c>
      <c r="CX4" t="s">
        <v>71</v>
      </c>
      <c r="CY4" t="s">
        <v>69</v>
      </c>
      <c r="CZ4">
        <v>75.066999999999993</v>
      </c>
      <c r="DA4" t="s">
        <v>69</v>
      </c>
      <c r="DB4" t="s">
        <v>69</v>
      </c>
      <c r="DC4">
        <v>474</v>
      </c>
      <c r="DD4" t="s">
        <v>155</v>
      </c>
      <c r="DE4" t="s">
        <v>69</v>
      </c>
      <c r="DF4" t="s">
        <v>150</v>
      </c>
      <c r="DG4" t="s">
        <v>69</v>
      </c>
      <c r="DH4">
        <v>105.093</v>
      </c>
      <c r="DI4" t="s">
        <v>69</v>
      </c>
      <c r="DJ4" t="s">
        <v>69</v>
      </c>
      <c r="DK4">
        <v>493</v>
      </c>
      <c r="DL4" t="s">
        <v>155</v>
      </c>
      <c r="DM4" t="s">
        <v>69</v>
      </c>
      <c r="DN4" t="s">
        <v>150</v>
      </c>
      <c r="DO4" t="s">
        <v>69</v>
      </c>
      <c r="DP4">
        <v>105.093</v>
      </c>
      <c r="DQ4" t="s">
        <v>69</v>
      </c>
      <c r="DR4" t="s">
        <v>69</v>
      </c>
      <c r="DS4">
        <v>495</v>
      </c>
      <c r="DT4" t="s">
        <v>70</v>
      </c>
      <c r="DU4" t="s">
        <v>69</v>
      </c>
      <c r="DV4" t="s">
        <v>71</v>
      </c>
      <c r="DW4" t="s">
        <v>69</v>
      </c>
      <c r="DX4">
        <v>75.066999999999993</v>
      </c>
      <c r="DY4" t="s">
        <v>69</v>
      </c>
      <c r="DZ4" t="s">
        <v>69</v>
      </c>
      <c r="EA4">
        <v>497</v>
      </c>
      <c r="EB4" t="s">
        <v>70</v>
      </c>
      <c r="EC4" t="s">
        <v>69</v>
      </c>
      <c r="ED4" t="s">
        <v>71</v>
      </c>
      <c r="EE4" t="s">
        <v>69</v>
      </c>
      <c r="EF4">
        <v>75.066999999999993</v>
      </c>
      <c r="EG4" t="s">
        <v>69</v>
      </c>
      <c r="EH4" t="s">
        <v>69</v>
      </c>
    </row>
    <row r="5" spans="1:138" x14ac:dyDescent="0.25">
      <c r="A5">
        <v>7</v>
      </c>
      <c r="B5" t="str">
        <f>HYPERLINK("http://www.ncbi.nlm.nih.gov/protein/XP_008984970.1","XP_008984970.1")</f>
        <v>XP_008984970.1</v>
      </c>
      <c r="C5">
        <v>87664</v>
      </c>
      <c r="D5" t="str">
        <f>HYPERLINK("http://www.ncbi.nlm.nih.gov/Taxonomy/Browser/wwwtax.cgi?mode=Info&amp;id=9483&amp;lvl=3&amp;lin=f&amp;keep=1&amp;srchmode=1&amp;unlock","9483")</f>
        <v>9483</v>
      </c>
      <c r="E5" t="s">
        <v>66</v>
      </c>
      <c r="F5" t="str">
        <f>HYPERLINK("http://www.ncbi.nlm.nih.gov/Taxonomy/Browser/wwwtax.cgi?mode=Info&amp;id=9483&amp;lvl=3&amp;lin=f&amp;keep=1&amp;srchmode=1&amp;unlock","Callithrix jacchus")</f>
        <v>Callithrix jacchus</v>
      </c>
      <c r="G5" t="s">
        <v>106</v>
      </c>
      <c r="H5" t="str">
        <f>HYPERLINK("http://www.ncbi.nlm.nih.gov/protein/XP_008984970.1","transmembrane protease serine 2 isoform X1")</f>
        <v>transmembrane protease serine 2 isoform X1</v>
      </c>
      <c r="I5" t="s">
        <v>269</v>
      </c>
      <c r="J5" t="s">
        <v>69</v>
      </c>
      <c r="K5">
        <v>296</v>
      </c>
      <c r="L5" t="s">
        <v>157</v>
      </c>
      <c r="M5" t="s">
        <v>69</v>
      </c>
      <c r="N5" t="s">
        <v>75</v>
      </c>
      <c r="O5" t="s">
        <v>69</v>
      </c>
      <c r="P5">
        <v>155.15600000000001</v>
      </c>
      <c r="Q5" t="s">
        <v>69</v>
      </c>
      <c r="R5" t="s">
        <v>69</v>
      </c>
      <c r="S5">
        <v>299</v>
      </c>
      <c r="T5" t="s">
        <v>119</v>
      </c>
      <c r="U5" t="s">
        <v>69</v>
      </c>
      <c r="V5" t="s">
        <v>120</v>
      </c>
      <c r="W5" t="s">
        <v>69</v>
      </c>
      <c r="X5">
        <v>147.131</v>
      </c>
      <c r="Y5" t="s">
        <v>69</v>
      </c>
      <c r="Z5" t="s">
        <v>69</v>
      </c>
      <c r="AA5">
        <v>338</v>
      </c>
      <c r="AB5" t="s">
        <v>156</v>
      </c>
      <c r="AC5" t="s">
        <v>69</v>
      </c>
      <c r="AD5" t="s">
        <v>120</v>
      </c>
      <c r="AE5" t="s">
        <v>69</v>
      </c>
      <c r="AF5">
        <v>133.10400000000001</v>
      </c>
      <c r="AG5" t="s">
        <v>69</v>
      </c>
      <c r="AH5" t="s">
        <v>69</v>
      </c>
      <c r="AI5">
        <v>340</v>
      </c>
      <c r="AJ5" t="s">
        <v>147</v>
      </c>
      <c r="AK5" t="s">
        <v>153</v>
      </c>
      <c r="AL5" t="s">
        <v>148</v>
      </c>
      <c r="AM5" t="s">
        <v>153</v>
      </c>
      <c r="AN5">
        <v>146.14599999999999</v>
      </c>
      <c r="AO5" t="s">
        <v>69</v>
      </c>
      <c r="AP5" t="s">
        <v>69</v>
      </c>
      <c r="AQ5">
        <v>341</v>
      </c>
      <c r="AR5" t="s">
        <v>149</v>
      </c>
      <c r="AS5" t="s">
        <v>69</v>
      </c>
      <c r="AT5" t="s">
        <v>150</v>
      </c>
      <c r="AU5" t="s">
        <v>69</v>
      </c>
      <c r="AV5">
        <v>119.119</v>
      </c>
      <c r="AW5" t="s">
        <v>69</v>
      </c>
      <c r="AX5" t="s">
        <v>69</v>
      </c>
      <c r="AY5">
        <v>342</v>
      </c>
      <c r="AZ5" t="s">
        <v>76</v>
      </c>
      <c r="BA5" t="s">
        <v>69</v>
      </c>
      <c r="BB5" t="s">
        <v>75</v>
      </c>
      <c r="BC5" t="s">
        <v>69</v>
      </c>
      <c r="BD5">
        <v>146.18899999999999</v>
      </c>
      <c r="BE5" t="s">
        <v>69</v>
      </c>
      <c r="BF5" t="s">
        <v>69</v>
      </c>
      <c r="BG5">
        <v>389</v>
      </c>
      <c r="BH5" t="s">
        <v>119</v>
      </c>
      <c r="BI5" t="s">
        <v>69</v>
      </c>
      <c r="BJ5" t="s">
        <v>120</v>
      </c>
      <c r="BK5" t="s">
        <v>69</v>
      </c>
      <c r="BL5">
        <v>147.131</v>
      </c>
      <c r="BM5" t="s">
        <v>69</v>
      </c>
      <c r="BN5" t="s">
        <v>69</v>
      </c>
      <c r="BO5">
        <v>391</v>
      </c>
      <c r="BP5" t="s">
        <v>70</v>
      </c>
      <c r="BQ5" t="s">
        <v>69</v>
      </c>
      <c r="BR5" t="s">
        <v>71</v>
      </c>
      <c r="BS5" t="s">
        <v>69</v>
      </c>
      <c r="BT5">
        <v>75.066999999999993</v>
      </c>
      <c r="BU5" t="s">
        <v>69</v>
      </c>
      <c r="BV5" t="s">
        <v>69</v>
      </c>
      <c r="BW5">
        <v>392</v>
      </c>
      <c r="BX5" t="s">
        <v>76</v>
      </c>
      <c r="BY5" t="s">
        <v>69</v>
      </c>
      <c r="BZ5" t="s">
        <v>75</v>
      </c>
      <c r="CA5" t="s">
        <v>69</v>
      </c>
      <c r="CB5">
        <v>146.18899999999999</v>
      </c>
      <c r="CC5" t="s">
        <v>69</v>
      </c>
      <c r="CD5" t="s">
        <v>69</v>
      </c>
      <c r="CE5">
        <v>436</v>
      </c>
      <c r="CF5" t="s">
        <v>155</v>
      </c>
      <c r="CG5" t="s">
        <v>69</v>
      </c>
      <c r="CH5" t="s">
        <v>150</v>
      </c>
      <c r="CI5" t="s">
        <v>69</v>
      </c>
      <c r="CJ5">
        <v>105.093</v>
      </c>
      <c r="CK5" t="s">
        <v>69</v>
      </c>
      <c r="CL5" t="s">
        <v>69</v>
      </c>
      <c r="CM5">
        <v>438</v>
      </c>
      <c r="CN5" t="s">
        <v>147</v>
      </c>
      <c r="CO5" t="s">
        <v>69</v>
      </c>
      <c r="CP5" t="s">
        <v>148</v>
      </c>
      <c r="CQ5" t="s">
        <v>69</v>
      </c>
      <c r="CR5">
        <v>146.14599999999999</v>
      </c>
      <c r="CS5" t="s">
        <v>69</v>
      </c>
      <c r="CT5" t="s">
        <v>69</v>
      </c>
      <c r="CU5">
        <v>439</v>
      </c>
      <c r="CV5" t="s">
        <v>70</v>
      </c>
      <c r="CW5" t="s">
        <v>69</v>
      </c>
      <c r="CX5" t="s">
        <v>71</v>
      </c>
      <c r="CY5" t="s">
        <v>69</v>
      </c>
      <c r="CZ5">
        <v>75.066999999999993</v>
      </c>
      <c r="DA5" t="s">
        <v>69</v>
      </c>
      <c r="DB5" t="s">
        <v>69</v>
      </c>
      <c r="DC5">
        <v>441</v>
      </c>
      <c r="DD5" t="s">
        <v>155</v>
      </c>
      <c r="DE5" t="s">
        <v>69</v>
      </c>
      <c r="DF5" t="s">
        <v>150</v>
      </c>
      <c r="DG5" t="s">
        <v>69</v>
      </c>
      <c r="DH5">
        <v>105.093</v>
      </c>
      <c r="DI5" t="s">
        <v>69</v>
      </c>
      <c r="DJ5" t="s">
        <v>69</v>
      </c>
      <c r="DK5">
        <v>460</v>
      </c>
      <c r="DL5" t="s">
        <v>155</v>
      </c>
      <c r="DM5" t="s">
        <v>69</v>
      </c>
      <c r="DN5" t="s">
        <v>150</v>
      </c>
      <c r="DO5" t="s">
        <v>69</v>
      </c>
      <c r="DP5">
        <v>105.093</v>
      </c>
      <c r="DQ5" t="s">
        <v>69</v>
      </c>
      <c r="DR5" t="s">
        <v>69</v>
      </c>
      <c r="DS5">
        <v>462</v>
      </c>
      <c r="DT5" t="s">
        <v>70</v>
      </c>
      <c r="DU5" t="s">
        <v>69</v>
      </c>
      <c r="DV5" t="s">
        <v>71</v>
      </c>
      <c r="DW5" t="s">
        <v>69</v>
      </c>
      <c r="DX5">
        <v>75.066999999999993</v>
      </c>
      <c r="DY5" t="s">
        <v>69</v>
      </c>
      <c r="DZ5" t="s">
        <v>69</v>
      </c>
      <c r="EA5">
        <v>464</v>
      </c>
      <c r="EB5" t="s">
        <v>70</v>
      </c>
      <c r="EC5" t="s">
        <v>69</v>
      </c>
      <c r="ED5" t="s">
        <v>71</v>
      </c>
      <c r="EE5" t="s">
        <v>69</v>
      </c>
      <c r="EF5">
        <v>75.066999999999993</v>
      </c>
      <c r="EG5" t="s">
        <v>69</v>
      </c>
      <c r="EH5" t="s">
        <v>69</v>
      </c>
    </row>
    <row r="6" spans="1:138" x14ac:dyDescent="0.25">
      <c r="A6">
        <v>7</v>
      </c>
      <c r="B6" t="str">
        <f>HYPERLINK("http://www.ncbi.nlm.nih.gov/protein/XP_028701148.1","XP_028701148.1")</f>
        <v>XP_028701148.1</v>
      </c>
      <c r="C6">
        <v>178339</v>
      </c>
      <c r="D6" t="str">
        <f>HYPERLINK("http://www.ncbi.nlm.nih.gov/Taxonomy/Browser/wwwtax.cgi?mode=Info&amp;id=9544&amp;lvl=3&amp;lin=f&amp;keep=1&amp;srchmode=1&amp;unlock","9544")</f>
        <v>9544</v>
      </c>
      <c r="E6" t="s">
        <v>66</v>
      </c>
      <c r="F6" t="str">
        <f>HYPERLINK("http://www.ncbi.nlm.nih.gov/Taxonomy/Browser/wwwtax.cgi?mode=Info&amp;id=9544&amp;lvl=3&amp;lin=f&amp;keep=1&amp;srchmode=1&amp;unlock","Macaca mulatta")</f>
        <v>Macaca mulatta</v>
      </c>
      <c r="G6" t="s">
        <v>77</v>
      </c>
      <c r="H6" t="str">
        <f>HYPERLINK("http://www.ncbi.nlm.nih.gov/protein/XP_028701148.1","transmembrane protease serine 2 isoform X1")</f>
        <v>transmembrane protease serine 2 isoform X1</v>
      </c>
      <c r="I6" t="s">
        <v>269</v>
      </c>
      <c r="J6" t="s">
        <v>69</v>
      </c>
      <c r="K6">
        <v>338</v>
      </c>
      <c r="L6" t="s">
        <v>157</v>
      </c>
      <c r="M6" t="s">
        <v>69</v>
      </c>
      <c r="N6" t="s">
        <v>75</v>
      </c>
      <c r="O6" t="s">
        <v>69</v>
      </c>
      <c r="P6">
        <v>155.15600000000001</v>
      </c>
      <c r="Q6" t="s">
        <v>69</v>
      </c>
      <c r="R6" t="s">
        <v>69</v>
      </c>
      <c r="S6">
        <v>341</v>
      </c>
      <c r="T6" t="s">
        <v>119</v>
      </c>
      <c r="U6" t="s">
        <v>69</v>
      </c>
      <c r="V6" t="s">
        <v>120</v>
      </c>
      <c r="W6" t="s">
        <v>69</v>
      </c>
      <c r="X6">
        <v>147.131</v>
      </c>
      <c r="Y6" t="s">
        <v>69</v>
      </c>
      <c r="Z6" t="s">
        <v>69</v>
      </c>
      <c r="AA6">
        <v>380</v>
      </c>
      <c r="AB6" t="s">
        <v>156</v>
      </c>
      <c r="AC6" t="s">
        <v>69</v>
      </c>
      <c r="AD6" t="s">
        <v>120</v>
      </c>
      <c r="AE6" t="s">
        <v>69</v>
      </c>
      <c r="AF6">
        <v>133.10400000000001</v>
      </c>
      <c r="AG6" t="s">
        <v>69</v>
      </c>
      <c r="AH6" t="s">
        <v>69</v>
      </c>
      <c r="AI6">
        <v>382</v>
      </c>
      <c r="AJ6" t="s">
        <v>76</v>
      </c>
      <c r="AK6" t="s">
        <v>69</v>
      </c>
      <c r="AL6" t="s">
        <v>75</v>
      </c>
      <c r="AM6" t="s">
        <v>69</v>
      </c>
      <c r="AN6">
        <v>146.18899999999999</v>
      </c>
      <c r="AO6" t="s">
        <v>69</v>
      </c>
      <c r="AP6" t="s">
        <v>69</v>
      </c>
      <c r="AQ6">
        <v>383</v>
      </c>
      <c r="AR6" t="s">
        <v>149</v>
      </c>
      <c r="AS6" t="s">
        <v>69</v>
      </c>
      <c r="AT6" t="s">
        <v>150</v>
      </c>
      <c r="AU6" t="s">
        <v>69</v>
      </c>
      <c r="AV6">
        <v>119.119</v>
      </c>
      <c r="AW6" t="s">
        <v>69</v>
      </c>
      <c r="AX6" t="s">
        <v>69</v>
      </c>
      <c r="AY6">
        <v>384</v>
      </c>
      <c r="AZ6" t="s">
        <v>76</v>
      </c>
      <c r="BA6" t="s">
        <v>69</v>
      </c>
      <c r="BB6" t="s">
        <v>75</v>
      </c>
      <c r="BC6" t="s">
        <v>69</v>
      </c>
      <c r="BD6">
        <v>146.18899999999999</v>
      </c>
      <c r="BE6" t="s">
        <v>69</v>
      </c>
      <c r="BF6" t="s">
        <v>69</v>
      </c>
      <c r="BG6">
        <v>431</v>
      </c>
      <c r="BH6" t="s">
        <v>119</v>
      </c>
      <c r="BI6" t="s">
        <v>69</v>
      </c>
      <c r="BJ6" t="s">
        <v>120</v>
      </c>
      <c r="BK6" t="s">
        <v>69</v>
      </c>
      <c r="BL6">
        <v>147.131</v>
      </c>
      <c r="BM6" t="s">
        <v>69</v>
      </c>
      <c r="BN6" t="s">
        <v>69</v>
      </c>
      <c r="BO6">
        <v>433</v>
      </c>
      <c r="BP6" t="s">
        <v>70</v>
      </c>
      <c r="BQ6" t="s">
        <v>69</v>
      </c>
      <c r="BR6" t="s">
        <v>71</v>
      </c>
      <c r="BS6" t="s">
        <v>69</v>
      </c>
      <c r="BT6">
        <v>75.066999999999993</v>
      </c>
      <c r="BU6" t="s">
        <v>69</v>
      </c>
      <c r="BV6" t="s">
        <v>69</v>
      </c>
      <c r="BW6">
        <v>434</v>
      </c>
      <c r="BX6" t="s">
        <v>76</v>
      </c>
      <c r="BY6" t="s">
        <v>69</v>
      </c>
      <c r="BZ6" t="s">
        <v>75</v>
      </c>
      <c r="CA6" t="s">
        <v>69</v>
      </c>
      <c r="CB6">
        <v>146.18899999999999</v>
      </c>
      <c r="CC6" t="s">
        <v>69</v>
      </c>
      <c r="CD6" t="s">
        <v>69</v>
      </c>
      <c r="CE6">
        <v>478</v>
      </c>
      <c r="CF6" t="s">
        <v>155</v>
      </c>
      <c r="CG6" t="s">
        <v>69</v>
      </c>
      <c r="CH6" t="s">
        <v>150</v>
      </c>
      <c r="CI6" t="s">
        <v>69</v>
      </c>
      <c r="CJ6">
        <v>105.093</v>
      </c>
      <c r="CK6" t="s">
        <v>69</v>
      </c>
      <c r="CL6" t="s">
        <v>69</v>
      </c>
      <c r="CM6">
        <v>480</v>
      </c>
      <c r="CN6" t="s">
        <v>147</v>
      </c>
      <c r="CO6" t="s">
        <v>69</v>
      </c>
      <c r="CP6" t="s">
        <v>148</v>
      </c>
      <c r="CQ6" t="s">
        <v>69</v>
      </c>
      <c r="CR6">
        <v>146.14599999999999</v>
      </c>
      <c r="CS6" t="s">
        <v>69</v>
      </c>
      <c r="CT6" t="s">
        <v>69</v>
      </c>
      <c r="CU6">
        <v>481</v>
      </c>
      <c r="CV6" t="s">
        <v>70</v>
      </c>
      <c r="CW6" t="s">
        <v>69</v>
      </c>
      <c r="CX6" t="s">
        <v>71</v>
      </c>
      <c r="CY6" t="s">
        <v>69</v>
      </c>
      <c r="CZ6">
        <v>75.066999999999993</v>
      </c>
      <c r="DA6" t="s">
        <v>69</v>
      </c>
      <c r="DB6" t="s">
        <v>69</v>
      </c>
      <c r="DC6">
        <v>483</v>
      </c>
      <c r="DD6" t="s">
        <v>155</v>
      </c>
      <c r="DE6" t="s">
        <v>69</v>
      </c>
      <c r="DF6" t="s">
        <v>150</v>
      </c>
      <c r="DG6" t="s">
        <v>69</v>
      </c>
      <c r="DH6">
        <v>105.093</v>
      </c>
      <c r="DI6" t="s">
        <v>69</v>
      </c>
      <c r="DJ6" t="s">
        <v>69</v>
      </c>
      <c r="DK6">
        <v>502</v>
      </c>
      <c r="DL6" t="s">
        <v>155</v>
      </c>
      <c r="DM6" t="s">
        <v>69</v>
      </c>
      <c r="DN6" t="s">
        <v>150</v>
      </c>
      <c r="DO6" t="s">
        <v>69</v>
      </c>
      <c r="DP6">
        <v>105.093</v>
      </c>
      <c r="DQ6" t="s">
        <v>69</v>
      </c>
      <c r="DR6" t="s">
        <v>69</v>
      </c>
      <c r="DS6">
        <v>504</v>
      </c>
      <c r="DT6" t="s">
        <v>70</v>
      </c>
      <c r="DU6" t="s">
        <v>69</v>
      </c>
      <c r="DV6" t="s">
        <v>71</v>
      </c>
      <c r="DW6" t="s">
        <v>69</v>
      </c>
      <c r="DX6">
        <v>75.066999999999993</v>
      </c>
      <c r="DY6" t="s">
        <v>69</v>
      </c>
      <c r="DZ6" t="s">
        <v>69</v>
      </c>
      <c r="EA6">
        <v>506</v>
      </c>
      <c r="EB6" t="s">
        <v>70</v>
      </c>
      <c r="EC6" t="s">
        <v>69</v>
      </c>
      <c r="ED6" t="s">
        <v>71</v>
      </c>
      <c r="EE6" t="s">
        <v>69</v>
      </c>
      <c r="EF6">
        <v>75.066999999999993</v>
      </c>
      <c r="EG6" t="s">
        <v>69</v>
      </c>
      <c r="EH6" t="s">
        <v>69</v>
      </c>
    </row>
    <row r="7" spans="1:138" x14ac:dyDescent="0.25">
      <c r="A7">
        <v>7</v>
      </c>
      <c r="B7" t="str">
        <f>HYPERLINK("http://www.ncbi.nlm.nih.gov/protein/XP_037841356.1","XP_037841356.1")</f>
        <v>XP_037841356.1</v>
      </c>
      <c r="C7">
        <v>62302</v>
      </c>
      <c r="D7" t="str">
        <f>HYPERLINK("http://www.ncbi.nlm.nih.gov/Taxonomy/Browser/wwwtax.cgi?mode=Info&amp;id=60711&amp;lvl=3&amp;lin=f&amp;keep=1&amp;srchmode=1&amp;unlock","60711")</f>
        <v>60711</v>
      </c>
      <c r="E7" t="s">
        <v>66</v>
      </c>
      <c r="F7" t="str">
        <f>HYPERLINK("http://www.ncbi.nlm.nih.gov/Taxonomy/Browser/wwwtax.cgi?mode=Info&amp;id=60711&amp;lvl=3&amp;lin=f&amp;keep=1&amp;srchmode=1&amp;unlock","Chlorocebus sabaeus")</f>
        <v>Chlorocebus sabaeus</v>
      </c>
      <c r="G7" t="s">
        <v>78</v>
      </c>
      <c r="H7" t="str">
        <f>HYPERLINK("http://www.ncbi.nlm.nih.gov/protein/XP_037841356.1","transmembrane protease serine 2")</f>
        <v>transmembrane protease serine 2</v>
      </c>
      <c r="I7" t="s">
        <v>269</v>
      </c>
      <c r="J7" t="s">
        <v>69</v>
      </c>
      <c r="K7">
        <v>465</v>
      </c>
      <c r="L7" t="s">
        <v>157</v>
      </c>
      <c r="M7" t="s">
        <v>69</v>
      </c>
      <c r="N7" t="s">
        <v>75</v>
      </c>
      <c r="O7" t="s">
        <v>69</v>
      </c>
      <c r="P7">
        <v>155.15600000000001</v>
      </c>
      <c r="Q7" t="s">
        <v>69</v>
      </c>
      <c r="R7" t="s">
        <v>69</v>
      </c>
      <c r="S7">
        <v>468</v>
      </c>
      <c r="T7" t="s">
        <v>119</v>
      </c>
      <c r="U7" t="s">
        <v>69</v>
      </c>
      <c r="V7" t="s">
        <v>120</v>
      </c>
      <c r="W7" t="s">
        <v>69</v>
      </c>
      <c r="X7">
        <v>147.131</v>
      </c>
      <c r="Y7" t="s">
        <v>69</v>
      </c>
      <c r="Z7" t="s">
        <v>69</v>
      </c>
      <c r="AA7">
        <v>507</v>
      </c>
      <c r="AB7" t="s">
        <v>156</v>
      </c>
      <c r="AC7" t="s">
        <v>69</v>
      </c>
      <c r="AD7" t="s">
        <v>120</v>
      </c>
      <c r="AE7" t="s">
        <v>69</v>
      </c>
      <c r="AF7">
        <v>133.10400000000001</v>
      </c>
      <c r="AG7" t="s">
        <v>69</v>
      </c>
      <c r="AH7" t="s">
        <v>69</v>
      </c>
      <c r="AI7">
        <v>509</v>
      </c>
      <c r="AJ7" t="s">
        <v>76</v>
      </c>
      <c r="AK7" t="s">
        <v>69</v>
      </c>
      <c r="AL7" t="s">
        <v>75</v>
      </c>
      <c r="AM7" t="s">
        <v>69</v>
      </c>
      <c r="AN7">
        <v>146.18899999999999</v>
      </c>
      <c r="AO7" t="s">
        <v>69</v>
      </c>
      <c r="AP7" t="s">
        <v>69</v>
      </c>
      <c r="AQ7">
        <v>510</v>
      </c>
      <c r="AR7" t="s">
        <v>149</v>
      </c>
      <c r="AS7" t="s">
        <v>69</v>
      </c>
      <c r="AT7" t="s">
        <v>150</v>
      </c>
      <c r="AU7" t="s">
        <v>69</v>
      </c>
      <c r="AV7">
        <v>119.119</v>
      </c>
      <c r="AW7" t="s">
        <v>69</v>
      </c>
      <c r="AX7" t="s">
        <v>69</v>
      </c>
      <c r="AY7">
        <v>511</v>
      </c>
      <c r="AZ7" t="s">
        <v>76</v>
      </c>
      <c r="BA7" t="s">
        <v>69</v>
      </c>
      <c r="BB7" t="s">
        <v>75</v>
      </c>
      <c r="BC7" t="s">
        <v>69</v>
      </c>
      <c r="BD7">
        <v>146.18899999999999</v>
      </c>
      <c r="BE7" t="s">
        <v>69</v>
      </c>
      <c r="BF7" t="s">
        <v>69</v>
      </c>
      <c r="BG7">
        <v>558</v>
      </c>
      <c r="BH7" t="s">
        <v>119</v>
      </c>
      <c r="BI7" t="s">
        <v>69</v>
      </c>
      <c r="BJ7" t="s">
        <v>120</v>
      </c>
      <c r="BK7" t="s">
        <v>69</v>
      </c>
      <c r="BL7">
        <v>147.131</v>
      </c>
      <c r="BM7" t="s">
        <v>69</v>
      </c>
      <c r="BN7" t="s">
        <v>69</v>
      </c>
      <c r="BO7">
        <v>560</v>
      </c>
      <c r="BP7" t="s">
        <v>70</v>
      </c>
      <c r="BQ7" t="s">
        <v>69</v>
      </c>
      <c r="BR7" t="s">
        <v>71</v>
      </c>
      <c r="BS7" t="s">
        <v>69</v>
      </c>
      <c r="BT7">
        <v>75.066999999999993</v>
      </c>
      <c r="BU7" t="s">
        <v>69</v>
      </c>
      <c r="BV7" t="s">
        <v>69</v>
      </c>
      <c r="BW7">
        <v>561</v>
      </c>
      <c r="BX7" t="s">
        <v>76</v>
      </c>
      <c r="BY7" t="s">
        <v>69</v>
      </c>
      <c r="BZ7" t="s">
        <v>75</v>
      </c>
      <c r="CA7" t="s">
        <v>69</v>
      </c>
      <c r="CB7">
        <v>146.18899999999999</v>
      </c>
      <c r="CC7" t="s">
        <v>69</v>
      </c>
      <c r="CD7" t="s">
        <v>69</v>
      </c>
      <c r="CE7">
        <v>605</v>
      </c>
      <c r="CF7" t="s">
        <v>155</v>
      </c>
      <c r="CG7" t="s">
        <v>69</v>
      </c>
      <c r="CH7" t="s">
        <v>150</v>
      </c>
      <c r="CI7" t="s">
        <v>69</v>
      </c>
      <c r="CJ7">
        <v>105.093</v>
      </c>
      <c r="CK7" t="s">
        <v>69</v>
      </c>
      <c r="CL7" t="s">
        <v>69</v>
      </c>
      <c r="CM7">
        <v>607</v>
      </c>
      <c r="CN7" t="s">
        <v>147</v>
      </c>
      <c r="CO7" t="s">
        <v>69</v>
      </c>
      <c r="CP7" t="s">
        <v>148</v>
      </c>
      <c r="CQ7" t="s">
        <v>69</v>
      </c>
      <c r="CR7">
        <v>146.14599999999999</v>
      </c>
      <c r="CS7" t="s">
        <v>69</v>
      </c>
      <c r="CT7" t="s">
        <v>69</v>
      </c>
      <c r="CU7">
        <v>608</v>
      </c>
      <c r="CV7" t="s">
        <v>70</v>
      </c>
      <c r="CW7" t="s">
        <v>69</v>
      </c>
      <c r="CX7" t="s">
        <v>71</v>
      </c>
      <c r="CY7" t="s">
        <v>69</v>
      </c>
      <c r="CZ7">
        <v>75.066999999999993</v>
      </c>
      <c r="DA7" t="s">
        <v>69</v>
      </c>
      <c r="DB7" t="s">
        <v>69</v>
      </c>
      <c r="DC7">
        <v>610</v>
      </c>
      <c r="DD7" t="s">
        <v>155</v>
      </c>
      <c r="DE7" t="s">
        <v>69</v>
      </c>
      <c r="DF7" t="s">
        <v>150</v>
      </c>
      <c r="DG7" t="s">
        <v>69</v>
      </c>
      <c r="DH7">
        <v>105.093</v>
      </c>
      <c r="DI7" t="s">
        <v>69</v>
      </c>
      <c r="DJ7" t="s">
        <v>69</v>
      </c>
      <c r="DK7">
        <v>629</v>
      </c>
      <c r="DL7" t="s">
        <v>155</v>
      </c>
      <c r="DM7" t="s">
        <v>69</v>
      </c>
      <c r="DN7" t="s">
        <v>150</v>
      </c>
      <c r="DO7" t="s">
        <v>69</v>
      </c>
      <c r="DP7">
        <v>105.093</v>
      </c>
      <c r="DQ7" t="s">
        <v>69</v>
      </c>
      <c r="DR7" t="s">
        <v>69</v>
      </c>
      <c r="DS7">
        <v>631</v>
      </c>
      <c r="DT7" t="s">
        <v>70</v>
      </c>
      <c r="DU7" t="s">
        <v>69</v>
      </c>
      <c r="DV7" t="s">
        <v>71</v>
      </c>
      <c r="DW7" t="s">
        <v>69</v>
      </c>
      <c r="DX7">
        <v>75.066999999999993</v>
      </c>
      <c r="DY7" t="s">
        <v>69</v>
      </c>
      <c r="DZ7" t="s">
        <v>69</v>
      </c>
      <c r="EA7">
        <v>633</v>
      </c>
      <c r="EB7" t="s">
        <v>70</v>
      </c>
      <c r="EC7" t="s">
        <v>69</v>
      </c>
      <c r="ED7" t="s">
        <v>71</v>
      </c>
      <c r="EE7" t="s">
        <v>69</v>
      </c>
      <c r="EF7">
        <v>75.066999999999993</v>
      </c>
      <c r="EG7" t="s">
        <v>69</v>
      </c>
      <c r="EH7" t="s">
        <v>69</v>
      </c>
    </row>
    <row r="8" spans="1:138" x14ac:dyDescent="0.25">
      <c r="A8">
        <v>7</v>
      </c>
      <c r="B8" t="str">
        <f>HYPERLINK("http://www.ncbi.nlm.nih.gov/protein/XP_047420294.1","XP_047420294.1")</f>
        <v>XP_047420294.1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HYPERLINK("http://www.ncbi.nlm.nih.gov/protein/XP_047420294.1","transmembrane protease serine 2-like")</f>
        <v>transmembrane protease serine 2-like</v>
      </c>
      <c r="I8" t="s">
        <v>269</v>
      </c>
      <c r="J8" t="s">
        <v>69</v>
      </c>
      <c r="K8">
        <v>295</v>
      </c>
      <c r="L8" t="s">
        <v>157</v>
      </c>
      <c r="M8" t="s">
        <v>69</v>
      </c>
      <c r="N8" t="s">
        <v>75</v>
      </c>
      <c r="O8" t="s">
        <v>69</v>
      </c>
      <c r="P8">
        <v>155.15600000000001</v>
      </c>
      <c r="Q8" t="s">
        <v>69</v>
      </c>
      <c r="R8" t="s">
        <v>69</v>
      </c>
      <c r="S8">
        <v>298</v>
      </c>
      <c r="T8" t="s">
        <v>119</v>
      </c>
      <c r="U8" t="s">
        <v>69</v>
      </c>
      <c r="V8" t="s">
        <v>120</v>
      </c>
      <c r="W8" t="s">
        <v>69</v>
      </c>
      <c r="X8">
        <v>147.131</v>
      </c>
      <c r="Y8" t="s">
        <v>69</v>
      </c>
      <c r="Z8" t="s">
        <v>69</v>
      </c>
      <c r="AA8">
        <v>337</v>
      </c>
      <c r="AB8" t="s">
        <v>156</v>
      </c>
      <c r="AC8" t="s">
        <v>69</v>
      </c>
      <c r="AD8" t="s">
        <v>120</v>
      </c>
      <c r="AE8" t="s">
        <v>69</v>
      </c>
      <c r="AF8">
        <v>133.10400000000001</v>
      </c>
      <c r="AG8" t="s">
        <v>69</v>
      </c>
      <c r="AH8" t="s">
        <v>69</v>
      </c>
      <c r="AI8">
        <v>339</v>
      </c>
      <c r="AJ8" t="s">
        <v>76</v>
      </c>
      <c r="AK8" t="s">
        <v>69</v>
      </c>
      <c r="AL8" t="s">
        <v>75</v>
      </c>
      <c r="AM8" t="s">
        <v>69</v>
      </c>
      <c r="AN8">
        <v>146.18899999999999</v>
      </c>
      <c r="AO8" t="s">
        <v>69</v>
      </c>
      <c r="AP8" t="s">
        <v>69</v>
      </c>
      <c r="AQ8">
        <v>340</v>
      </c>
      <c r="AR8" t="s">
        <v>149</v>
      </c>
      <c r="AS8" t="s">
        <v>69</v>
      </c>
      <c r="AT8" t="s">
        <v>150</v>
      </c>
      <c r="AU8" t="s">
        <v>69</v>
      </c>
      <c r="AV8">
        <v>119.119</v>
      </c>
      <c r="AW8" t="s">
        <v>69</v>
      </c>
      <c r="AX8" t="s">
        <v>69</v>
      </c>
      <c r="AY8">
        <v>341</v>
      </c>
      <c r="AZ8" t="s">
        <v>76</v>
      </c>
      <c r="BA8" t="s">
        <v>69</v>
      </c>
      <c r="BB8" t="s">
        <v>75</v>
      </c>
      <c r="BC8" t="s">
        <v>69</v>
      </c>
      <c r="BD8">
        <v>146.18899999999999</v>
      </c>
      <c r="BE8" t="s">
        <v>69</v>
      </c>
      <c r="BF8" t="s">
        <v>69</v>
      </c>
      <c r="BG8">
        <v>388</v>
      </c>
      <c r="BH8" t="s">
        <v>119</v>
      </c>
      <c r="BI8" t="s">
        <v>69</v>
      </c>
      <c r="BJ8" t="s">
        <v>120</v>
      </c>
      <c r="BK8" t="s">
        <v>69</v>
      </c>
      <c r="BL8">
        <v>147.131</v>
      </c>
      <c r="BM8" t="s">
        <v>69</v>
      </c>
      <c r="BN8" t="s">
        <v>69</v>
      </c>
      <c r="BO8">
        <v>390</v>
      </c>
      <c r="BP8" t="s">
        <v>70</v>
      </c>
      <c r="BQ8" t="s">
        <v>69</v>
      </c>
      <c r="BR8" t="s">
        <v>71</v>
      </c>
      <c r="BS8" t="s">
        <v>69</v>
      </c>
      <c r="BT8">
        <v>75.066999999999993</v>
      </c>
      <c r="BU8" t="s">
        <v>69</v>
      </c>
      <c r="BV8" t="s">
        <v>69</v>
      </c>
      <c r="BW8">
        <v>391</v>
      </c>
      <c r="BX8" t="s">
        <v>76</v>
      </c>
      <c r="BY8" t="s">
        <v>69</v>
      </c>
      <c r="BZ8" t="s">
        <v>75</v>
      </c>
      <c r="CA8" t="s">
        <v>69</v>
      </c>
      <c r="CB8">
        <v>146.18899999999999</v>
      </c>
      <c r="CC8" t="s">
        <v>69</v>
      </c>
      <c r="CD8" t="s">
        <v>69</v>
      </c>
      <c r="CE8">
        <v>435</v>
      </c>
      <c r="CF8" t="s">
        <v>155</v>
      </c>
      <c r="CG8" t="s">
        <v>69</v>
      </c>
      <c r="CH8" t="s">
        <v>150</v>
      </c>
      <c r="CI8" t="s">
        <v>69</v>
      </c>
      <c r="CJ8">
        <v>105.093</v>
      </c>
      <c r="CK8" t="s">
        <v>69</v>
      </c>
      <c r="CL8" t="s">
        <v>69</v>
      </c>
      <c r="CM8">
        <v>437</v>
      </c>
      <c r="CN8" t="s">
        <v>147</v>
      </c>
      <c r="CO8" t="s">
        <v>69</v>
      </c>
      <c r="CP8" t="s">
        <v>148</v>
      </c>
      <c r="CQ8" t="s">
        <v>69</v>
      </c>
      <c r="CR8">
        <v>146.14599999999999</v>
      </c>
      <c r="CS8" t="s">
        <v>69</v>
      </c>
      <c r="CT8" t="s">
        <v>69</v>
      </c>
      <c r="CU8">
        <v>438</v>
      </c>
      <c r="CV8" t="s">
        <v>70</v>
      </c>
      <c r="CW8" t="s">
        <v>69</v>
      </c>
      <c r="CX8" t="s">
        <v>71</v>
      </c>
      <c r="CY8" t="s">
        <v>69</v>
      </c>
      <c r="CZ8">
        <v>75.066999999999993</v>
      </c>
      <c r="DA8" t="s">
        <v>69</v>
      </c>
      <c r="DB8" t="s">
        <v>69</v>
      </c>
      <c r="DC8">
        <v>440</v>
      </c>
      <c r="DD8" t="s">
        <v>155</v>
      </c>
      <c r="DE8" t="s">
        <v>69</v>
      </c>
      <c r="DF8" t="s">
        <v>150</v>
      </c>
      <c r="DG8" t="s">
        <v>69</v>
      </c>
      <c r="DH8">
        <v>105.093</v>
      </c>
      <c r="DI8" t="s">
        <v>69</v>
      </c>
      <c r="DJ8" t="s">
        <v>69</v>
      </c>
      <c r="DK8">
        <v>459</v>
      </c>
      <c r="DL8" t="s">
        <v>155</v>
      </c>
      <c r="DM8" t="s">
        <v>69</v>
      </c>
      <c r="DN8" t="s">
        <v>150</v>
      </c>
      <c r="DO8" t="s">
        <v>69</v>
      </c>
      <c r="DP8">
        <v>105.093</v>
      </c>
      <c r="DQ8" t="s">
        <v>69</v>
      </c>
      <c r="DR8" t="s">
        <v>69</v>
      </c>
      <c r="DS8">
        <v>461</v>
      </c>
      <c r="DT8" t="s">
        <v>70</v>
      </c>
      <c r="DU8" t="s">
        <v>69</v>
      </c>
      <c r="DV8" t="s">
        <v>71</v>
      </c>
      <c r="DW8" t="s">
        <v>69</v>
      </c>
      <c r="DX8">
        <v>75.066999999999993</v>
      </c>
      <c r="DY8" t="s">
        <v>69</v>
      </c>
      <c r="DZ8" t="s">
        <v>69</v>
      </c>
      <c r="EA8">
        <v>463</v>
      </c>
      <c r="EB8" t="s">
        <v>70</v>
      </c>
      <c r="EC8" t="s">
        <v>69</v>
      </c>
      <c r="ED8" t="s">
        <v>71</v>
      </c>
      <c r="EE8" t="s">
        <v>69</v>
      </c>
      <c r="EF8">
        <v>75.066999999999993</v>
      </c>
      <c r="EG8" t="s">
        <v>69</v>
      </c>
      <c r="EH8" t="s">
        <v>69</v>
      </c>
    </row>
    <row r="9" spans="1:138" x14ac:dyDescent="0.25">
      <c r="A9">
        <v>7</v>
      </c>
      <c r="B9" t="str">
        <f>HYPERLINK("http://www.ncbi.nlm.nih.gov/protein/XP_044106830.1","XP_044106830.1")</f>
        <v>XP_044106830.1</v>
      </c>
      <c r="C9">
        <v>44640</v>
      </c>
      <c r="D9" t="str">
        <f>HYPERLINK("http://www.ncbi.nlm.nih.gov/Taxonomy/Browser/wwwtax.cgi?mode=Info&amp;id=452646&amp;lvl=3&amp;lin=f&amp;keep=1&amp;srchmode=1&amp;unlock","452646")</f>
        <v>452646</v>
      </c>
      <c r="E9" t="s">
        <v>66</v>
      </c>
      <c r="F9" t="str">
        <f>HYPERLINK("http://www.ncbi.nlm.nih.gov/Taxonomy/Browser/wwwtax.cgi?mode=Info&amp;id=452646&amp;lvl=3&amp;lin=f&amp;keep=1&amp;srchmode=1&amp;unlock","Neogale vison")</f>
        <v>Neogale vison</v>
      </c>
      <c r="G9" t="s">
        <v>96</v>
      </c>
      <c r="H9" t="str">
        <f>HYPERLINK("http://www.ncbi.nlm.nih.gov/protein/XP_044106830.1","transmembrane protease serine 2")</f>
        <v>transmembrane protease serine 2</v>
      </c>
      <c r="I9" t="s">
        <v>269</v>
      </c>
      <c r="J9" t="s">
        <v>69</v>
      </c>
      <c r="K9">
        <v>296</v>
      </c>
      <c r="L9" t="s">
        <v>157</v>
      </c>
      <c r="M9" t="s">
        <v>69</v>
      </c>
      <c r="N9" t="s">
        <v>75</v>
      </c>
      <c r="O9" t="s">
        <v>69</v>
      </c>
      <c r="P9">
        <v>155.15600000000001</v>
      </c>
      <c r="Q9" t="s">
        <v>69</v>
      </c>
      <c r="R9" t="s">
        <v>69</v>
      </c>
      <c r="S9">
        <v>299</v>
      </c>
      <c r="T9" t="s">
        <v>119</v>
      </c>
      <c r="U9" t="s">
        <v>69</v>
      </c>
      <c r="V9" t="s">
        <v>120</v>
      </c>
      <c r="W9" t="s">
        <v>69</v>
      </c>
      <c r="X9">
        <v>147.131</v>
      </c>
      <c r="Y9" t="s">
        <v>69</v>
      </c>
      <c r="Z9" t="s">
        <v>69</v>
      </c>
      <c r="AA9">
        <v>338</v>
      </c>
      <c r="AB9" t="s">
        <v>156</v>
      </c>
      <c r="AC9" t="s">
        <v>69</v>
      </c>
      <c r="AD9" t="s">
        <v>120</v>
      </c>
      <c r="AE9" t="s">
        <v>69</v>
      </c>
      <c r="AF9">
        <v>133.10400000000001</v>
      </c>
      <c r="AG9" t="s">
        <v>69</v>
      </c>
      <c r="AH9" t="s">
        <v>69</v>
      </c>
      <c r="AI9">
        <v>340</v>
      </c>
      <c r="AJ9" t="s">
        <v>76</v>
      </c>
      <c r="AK9" t="s">
        <v>69</v>
      </c>
      <c r="AL9" t="s">
        <v>75</v>
      </c>
      <c r="AM9" t="s">
        <v>69</v>
      </c>
      <c r="AN9">
        <v>146.18899999999999</v>
      </c>
      <c r="AO9" t="s">
        <v>69</v>
      </c>
      <c r="AP9" t="s">
        <v>69</v>
      </c>
      <c r="AQ9">
        <v>341</v>
      </c>
      <c r="AR9" t="s">
        <v>149</v>
      </c>
      <c r="AS9" t="s">
        <v>69</v>
      </c>
      <c r="AT9" t="s">
        <v>150</v>
      </c>
      <c r="AU9" t="s">
        <v>69</v>
      </c>
      <c r="AV9">
        <v>119.119</v>
      </c>
      <c r="AW9" t="s">
        <v>69</v>
      </c>
      <c r="AX9" t="s">
        <v>69</v>
      </c>
      <c r="AY9">
        <v>342</v>
      </c>
      <c r="AZ9" t="s">
        <v>76</v>
      </c>
      <c r="BA9" t="s">
        <v>69</v>
      </c>
      <c r="BB9" t="s">
        <v>75</v>
      </c>
      <c r="BC9" t="s">
        <v>69</v>
      </c>
      <c r="BD9">
        <v>146.18899999999999</v>
      </c>
      <c r="BE9" t="s">
        <v>69</v>
      </c>
      <c r="BF9" t="s">
        <v>69</v>
      </c>
      <c r="BG9">
        <v>389</v>
      </c>
      <c r="BH9" t="s">
        <v>119</v>
      </c>
      <c r="BI9" t="s">
        <v>69</v>
      </c>
      <c r="BJ9" t="s">
        <v>120</v>
      </c>
      <c r="BK9" t="s">
        <v>69</v>
      </c>
      <c r="BL9">
        <v>147.131</v>
      </c>
      <c r="BM9" t="s">
        <v>69</v>
      </c>
      <c r="BN9" t="s">
        <v>69</v>
      </c>
      <c r="BO9">
        <v>391</v>
      </c>
      <c r="BP9" t="s">
        <v>70</v>
      </c>
      <c r="BQ9" t="s">
        <v>69</v>
      </c>
      <c r="BR9" t="s">
        <v>71</v>
      </c>
      <c r="BS9" t="s">
        <v>69</v>
      </c>
      <c r="BT9">
        <v>75.066999999999993</v>
      </c>
      <c r="BU9" t="s">
        <v>69</v>
      </c>
      <c r="BV9" t="s">
        <v>69</v>
      </c>
      <c r="BW9">
        <v>392</v>
      </c>
      <c r="BX9" t="s">
        <v>76</v>
      </c>
      <c r="BY9" t="s">
        <v>69</v>
      </c>
      <c r="BZ9" t="s">
        <v>75</v>
      </c>
      <c r="CA9" t="s">
        <v>69</v>
      </c>
      <c r="CB9">
        <v>146.18899999999999</v>
      </c>
      <c r="CC9" t="s">
        <v>69</v>
      </c>
      <c r="CD9" t="s">
        <v>69</v>
      </c>
      <c r="CE9">
        <v>436</v>
      </c>
      <c r="CF9" t="s">
        <v>155</v>
      </c>
      <c r="CG9" t="s">
        <v>69</v>
      </c>
      <c r="CH9" t="s">
        <v>150</v>
      </c>
      <c r="CI9" t="s">
        <v>69</v>
      </c>
      <c r="CJ9">
        <v>105.093</v>
      </c>
      <c r="CK9" t="s">
        <v>69</v>
      </c>
      <c r="CL9" t="s">
        <v>69</v>
      </c>
      <c r="CM9">
        <v>438</v>
      </c>
      <c r="CN9" t="s">
        <v>147</v>
      </c>
      <c r="CO9" t="s">
        <v>69</v>
      </c>
      <c r="CP9" t="s">
        <v>148</v>
      </c>
      <c r="CQ9" t="s">
        <v>69</v>
      </c>
      <c r="CR9">
        <v>146.14599999999999</v>
      </c>
      <c r="CS9" t="s">
        <v>69</v>
      </c>
      <c r="CT9" t="s">
        <v>69</v>
      </c>
      <c r="CU9">
        <v>439</v>
      </c>
      <c r="CV9" t="s">
        <v>70</v>
      </c>
      <c r="CW9" t="s">
        <v>69</v>
      </c>
      <c r="CX9" t="s">
        <v>71</v>
      </c>
      <c r="CY9" t="s">
        <v>69</v>
      </c>
      <c r="CZ9">
        <v>75.066999999999993</v>
      </c>
      <c r="DA9" t="s">
        <v>69</v>
      </c>
      <c r="DB9" t="s">
        <v>69</v>
      </c>
      <c r="DC9">
        <v>441</v>
      </c>
      <c r="DD9" t="s">
        <v>155</v>
      </c>
      <c r="DE9" t="s">
        <v>69</v>
      </c>
      <c r="DF9" t="s">
        <v>150</v>
      </c>
      <c r="DG9" t="s">
        <v>69</v>
      </c>
      <c r="DH9">
        <v>105.093</v>
      </c>
      <c r="DI9" t="s">
        <v>69</v>
      </c>
      <c r="DJ9" t="s">
        <v>69</v>
      </c>
      <c r="DK9">
        <v>460</v>
      </c>
      <c r="DL9" t="s">
        <v>155</v>
      </c>
      <c r="DM9" t="s">
        <v>69</v>
      </c>
      <c r="DN9" t="s">
        <v>150</v>
      </c>
      <c r="DO9" t="s">
        <v>69</v>
      </c>
      <c r="DP9">
        <v>105.093</v>
      </c>
      <c r="DQ9" t="s">
        <v>69</v>
      </c>
      <c r="DR9" t="s">
        <v>69</v>
      </c>
      <c r="DS9">
        <v>462</v>
      </c>
      <c r="DT9" t="s">
        <v>70</v>
      </c>
      <c r="DU9" t="s">
        <v>69</v>
      </c>
      <c r="DV9" t="s">
        <v>71</v>
      </c>
      <c r="DW9" t="s">
        <v>69</v>
      </c>
      <c r="DX9">
        <v>75.066999999999993</v>
      </c>
      <c r="DY9" t="s">
        <v>69</v>
      </c>
      <c r="DZ9" t="s">
        <v>69</v>
      </c>
      <c r="EA9">
        <v>464</v>
      </c>
      <c r="EB9" t="s">
        <v>70</v>
      </c>
      <c r="EC9" t="s">
        <v>69</v>
      </c>
      <c r="ED9" t="s">
        <v>71</v>
      </c>
      <c r="EE9" t="s">
        <v>69</v>
      </c>
      <c r="EF9">
        <v>75.066999999999993</v>
      </c>
      <c r="EG9" t="s">
        <v>69</v>
      </c>
      <c r="EH9" t="s">
        <v>69</v>
      </c>
    </row>
    <row r="10" spans="1:138" x14ac:dyDescent="0.25">
      <c r="A10">
        <v>7</v>
      </c>
      <c r="B10" t="str">
        <f>HYPERLINK("http://www.ncbi.nlm.nih.gov/protein/NP_001075054.1","NP_001075054.1")</f>
        <v>NP_001075054.1</v>
      </c>
      <c r="C10">
        <v>136186</v>
      </c>
      <c r="D10" t="str">
        <f>HYPERLINK("http://www.ncbi.nlm.nih.gov/Taxonomy/Browser/wwwtax.cgi?mode=Info&amp;id=9913&amp;lvl=3&amp;lin=f&amp;keep=1&amp;srchmode=1&amp;unlock","9913")</f>
        <v>9913</v>
      </c>
      <c r="E10" t="s">
        <v>66</v>
      </c>
      <c r="F10" t="str">
        <f>HYPERLINK("http://www.ncbi.nlm.nih.gov/Taxonomy/Browser/wwwtax.cgi?mode=Info&amp;id=9913&amp;lvl=3&amp;lin=f&amp;keep=1&amp;srchmode=1&amp;unlock","Bos taurus")</f>
        <v>Bos taurus</v>
      </c>
      <c r="G10" t="s">
        <v>82</v>
      </c>
      <c r="H10" t="str">
        <f>HYPERLINK("http://www.ncbi.nlm.nih.gov/protein/NP_001075054.1","transmembrane protease serine 2")</f>
        <v>transmembrane protease serine 2</v>
      </c>
      <c r="I10" t="s">
        <v>269</v>
      </c>
      <c r="J10" t="s">
        <v>69</v>
      </c>
      <c r="K10">
        <v>294</v>
      </c>
      <c r="L10" t="s">
        <v>157</v>
      </c>
      <c r="M10" t="s">
        <v>69</v>
      </c>
      <c r="N10" t="s">
        <v>75</v>
      </c>
      <c r="O10" t="s">
        <v>69</v>
      </c>
      <c r="P10">
        <v>155.15600000000001</v>
      </c>
      <c r="Q10" t="s">
        <v>69</v>
      </c>
      <c r="R10" t="s">
        <v>69</v>
      </c>
      <c r="S10">
        <v>297</v>
      </c>
      <c r="T10" t="s">
        <v>119</v>
      </c>
      <c r="U10" t="s">
        <v>69</v>
      </c>
      <c r="V10" t="s">
        <v>120</v>
      </c>
      <c r="W10" t="s">
        <v>69</v>
      </c>
      <c r="X10">
        <v>147.131</v>
      </c>
      <c r="Y10" t="s">
        <v>69</v>
      </c>
      <c r="Z10" t="s">
        <v>69</v>
      </c>
      <c r="AA10">
        <v>336</v>
      </c>
      <c r="AB10" t="s">
        <v>156</v>
      </c>
      <c r="AC10" t="s">
        <v>69</v>
      </c>
      <c r="AD10" t="s">
        <v>120</v>
      </c>
      <c r="AE10" t="s">
        <v>69</v>
      </c>
      <c r="AF10">
        <v>133.10400000000001</v>
      </c>
      <c r="AG10" t="s">
        <v>69</v>
      </c>
      <c r="AH10" t="s">
        <v>69</v>
      </c>
      <c r="AI10">
        <v>338</v>
      </c>
      <c r="AJ10" t="s">
        <v>76</v>
      </c>
      <c r="AK10" t="s">
        <v>69</v>
      </c>
      <c r="AL10" t="s">
        <v>75</v>
      </c>
      <c r="AM10" t="s">
        <v>69</v>
      </c>
      <c r="AN10">
        <v>146.18899999999999</v>
      </c>
      <c r="AO10" t="s">
        <v>69</v>
      </c>
      <c r="AP10" t="s">
        <v>69</v>
      </c>
      <c r="AQ10">
        <v>339</v>
      </c>
      <c r="AR10" t="s">
        <v>149</v>
      </c>
      <c r="AS10" t="s">
        <v>69</v>
      </c>
      <c r="AT10" t="s">
        <v>150</v>
      </c>
      <c r="AU10" t="s">
        <v>69</v>
      </c>
      <c r="AV10">
        <v>119.119</v>
      </c>
      <c r="AW10" t="s">
        <v>69</v>
      </c>
      <c r="AX10" t="s">
        <v>69</v>
      </c>
      <c r="AY10">
        <v>340</v>
      </c>
      <c r="AZ10" t="s">
        <v>76</v>
      </c>
      <c r="BA10" t="s">
        <v>69</v>
      </c>
      <c r="BB10" t="s">
        <v>75</v>
      </c>
      <c r="BC10" t="s">
        <v>69</v>
      </c>
      <c r="BD10">
        <v>146.18899999999999</v>
      </c>
      <c r="BE10" t="s">
        <v>69</v>
      </c>
      <c r="BF10" t="s">
        <v>69</v>
      </c>
      <c r="BG10">
        <v>387</v>
      </c>
      <c r="BH10" t="s">
        <v>119</v>
      </c>
      <c r="BI10" t="s">
        <v>69</v>
      </c>
      <c r="BJ10" t="s">
        <v>120</v>
      </c>
      <c r="BK10" t="s">
        <v>69</v>
      </c>
      <c r="BL10">
        <v>147.131</v>
      </c>
      <c r="BM10" t="s">
        <v>69</v>
      </c>
      <c r="BN10" t="s">
        <v>69</v>
      </c>
      <c r="BO10">
        <v>389</v>
      </c>
      <c r="BP10" t="s">
        <v>70</v>
      </c>
      <c r="BQ10" t="s">
        <v>69</v>
      </c>
      <c r="BR10" t="s">
        <v>71</v>
      </c>
      <c r="BS10" t="s">
        <v>69</v>
      </c>
      <c r="BT10">
        <v>75.066999999999993</v>
      </c>
      <c r="BU10" t="s">
        <v>69</v>
      </c>
      <c r="BV10" t="s">
        <v>69</v>
      </c>
      <c r="BW10">
        <v>390</v>
      </c>
      <c r="BX10" t="s">
        <v>76</v>
      </c>
      <c r="BY10" t="s">
        <v>69</v>
      </c>
      <c r="BZ10" t="s">
        <v>75</v>
      </c>
      <c r="CA10" t="s">
        <v>69</v>
      </c>
      <c r="CB10">
        <v>146.18899999999999</v>
      </c>
      <c r="CC10" t="s">
        <v>69</v>
      </c>
      <c r="CD10" t="s">
        <v>69</v>
      </c>
      <c r="CE10">
        <v>434</v>
      </c>
      <c r="CF10" t="s">
        <v>155</v>
      </c>
      <c r="CG10" t="s">
        <v>69</v>
      </c>
      <c r="CH10" t="s">
        <v>150</v>
      </c>
      <c r="CI10" t="s">
        <v>69</v>
      </c>
      <c r="CJ10">
        <v>105.093</v>
      </c>
      <c r="CK10" t="s">
        <v>69</v>
      </c>
      <c r="CL10" t="s">
        <v>69</v>
      </c>
      <c r="CM10">
        <v>436</v>
      </c>
      <c r="CN10" t="s">
        <v>147</v>
      </c>
      <c r="CO10" t="s">
        <v>69</v>
      </c>
      <c r="CP10" t="s">
        <v>148</v>
      </c>
      <c r="CQ10" t="s">
        <v>69</v>
      </c>
      <c r="CR10">
        <v>146.14599999999999</v>
      </c>
      <c r="CS10" t="s">
        <v>69</v>
      </c>
      <c r="CT10" t="s">
        <v>69</v>
      </c>
      <c r="CU10">
        <v>437</v>
      </c>
      <c r="CV10" t="s">
        <v>70</v>
      </c>
      <c r="CW10" t="s">
        <v>69</v>
      </c>
      <c r="CX10" t="s">
        <v>71</v>
      </c>
      <c r="CY10" t="s">
        <v>69</v>
      </c>
      <c r="CZ10">
        <v>75.066999999999993</v>
      </c>
      <c r="DA10" t="s">
        <v>69</v>
      </c>
      <c r="DB10" t="s">
        <v>69</v>
      </c>
      <c r="DC10">
        <v>439</v>
      </c>
      <c r="DD10" t="s">
        <v>155</v>
      </c>
      <c r="DE10" t="s">
        <v>69</v>
      </c>
      <c r="DF10" t="s">
        <v>150</v>
      </c>
      <c r="DG10" t="s">
        <v>69</v>
      </c>
      <c r="DH10">
        <v>105.093</v>
      </c>
      <c r="DI10" t="s">
        <v>69</v>
      </c>
      <c r="DJ10" t="s">
        <v>69</v>
      </c>
      <c r="DK10">
        <v>458</v>
      </c>
      <c r="DL10" t="s">
        <v>155</v>
      </c>
      <c r="DM10" t="s">
        <v>69</v>
      </c>
      <c r="DN10" t="s">
        <v>150</v>
      </c>
      <c r="DO10" t="s">
        <v>69</v>
      </c>
      <c r="DP10">
        <v>105.093</v>
      </c>
      <c r="DQ10" t="s">
        <v>69</v>
      </c>
      <c r="DR10" t="s">
        <v>69</v>
      </c>
      <c r="DS10">
        <v>460</v>
      </c>
      <c r="DT10" t="s">
        <v>70</v>
      </c>
      <c r="DU10" t="s">
        <v>69</v>
      </c>
      <c r="DV10" t="s">
        <v>71</v>
      </c>
      <c r="DW10" t="s">
        <v>69</v>
      </c>
      <c r="DX10">
        <v>75.066999999999993</v>
      </c>
      <c r="DY10" t="s">
        <v>69</v>
      </c>
      <c r="DZ10" t="s">
        <v>69</v>
      </c>
      <c r="EA10">
        <v>462</v>
      </c>
      <c r="EB10" t="s">
        <v>70</v>
      </c>
      <c r="EC10" t="s">
        <v>69</v>
      </c>
      <c r="ED10" t="s">
        <v>71</v>
      </c>
      <c r="EE10" t="s">
        <v>69</v>
      </c>
      <c r="EF10">
        <v>75.066999999999993</v>
      </c>
      <c r="EG10" t="s">
        <v>69</v>
      </c>
      <c r="EH10" t="s">
        <v>69</v>
      </c>
    </row>
    <row r="11" spans="1:138" x14ac:dyDescent="0.25">
      <c r="A11">
        <v>7</v>
      </c>
      <c r="B11" t="str">
        <f>HYPERLINK("http://www.ncbi.nlm.nih.gov/protein/NP_001373056.1","NP_001373056.1")</f>
        <v>NP_001373056.1</v>
      </c>
      <c r="C11">
        <v>58003</v>
      </c>
      <c r="D11" t="str">
        <f>HYPERLINK("http://www.ncbi.nlm.nih.gov/Taxonomy/Browser/wwwtax.cgi?mode=Info&amp;id=9669&amp;lvl=3&amp;lin=f&amp;keep=1&amp;srchmode=1&amp;unlock","9669")</f>
        <v>9669</v>
      </c>
      <c r="E11" t="s">
        <v>66</v>
      </c>
      <c r="F11" t="str">
        <f>HYPERLINK("http://www.ncbi.nlm.nih.gov/Taxonomy/Browser/wwwtax.cgi?mode=Info&amp;id=9669&amp;lvl=3&amp;lin=f&amp;keep=1&amp;srchmode=1&amp;unlock","Mustela putorius furo")</f>
        <v>Mustela putorius furo</v>
      </c>
      <c r="G11" t="s">
        <v>98</v>
      </c>
      <c r="H11" t="str">
        <f>HYPERLINK("http://www.ncbi.nlm.nih.gov/protein/NP_001373056.1","transmembrane protease serine 2")</f>
        <v>transmembrane protease serine 2</v>
      </c>
      <c r="I11" t="s">
        <v>269</v>
      </c>
      <c r="J11" t="s">
        <v>69</v>
      </c>
      <c r="K11">
        <v>296</v>
      </c>
      <c r="L11" t="s">
        <v>157</v>
      </c>
      <c r="M11" t="s">
        <v>69</v>
      </c>
      <c r="N11" t="s">
        <v>75</v>
      </c>
      <c r="O11" t="s">
        <v>69</v>
      </c>
      <c r="P11">
        <v>155.15600000000001</v>
      </c>
      <c r="Q11" t="s">
        <v>69</v>
      </c>
      <c r="R11" t="s">
        <v>69</v>
      </c>
      <c r="S11">
        <v>299</v>
      </c>
      <c r="T11" t="s">
        <v>119</v>
      </c>
      <c r="U11" t="s">
        <v>69</v>
      </c>
      <c r="V11" t="s">
        <v>120</v>
      </c>
      <c r="W11" t="s">
        <v>69</v>
      </c>
      <c r="X11">
        <v>147.131</v>
      </c>
      <c r="Y11" t="s">
        <v>69</v>
      </c>
      <c r="Z11" t="s">
        <v>69</v>
      </c>
      <c r="AA11">
        <v>338</v>
      </c>
      <c r="AB11" t="s">
        <v>156</v>
      </c>
      <c r="AC11" t="s">
        <v>69</v>
      </c>
      <c r="AD11" t="s">
        <v>120</v>
      </c>
      <c r="AE11" t="s">
        <v>69</v>
      </c>
      <c r="AF11">
        <v>133.10400000000001</v>
      </c>
      <c r="AG11" t="s">
        <v>69</v>
      </c>
      <c r="AH11" t="s">
        <v>69</v>
      </c>
      <c r="AI11">
        <v>340</v>
      </c>
      <c r="AJ11" t="s">
        <v>76</v>
      </c>
      <c r="AK11" t="s">
        <v>69</v>
      </c>
      <c r="AL11" t="s">
        <v>75</v>
      </c>
      <c r="AM11" t="s">
        <v>69</v>
      </c>
      <c r="AN11">
        <v>146.18899999999999</v>
      </c>
      <c r="AO11" t="s">
        <v>69</v>
      </c>
      <c r="AP11" t="s">
        <v>69</v>
      </c>
      <c r="AQ11">
        <v>341</v>
      </c>
      <c r="AR11" t="s">
        <v>149</v>
      </c>
      <c r="AS11" t="s">
        <v>69</v>
      </c>
      <c r="AT11" t="s">
        <v>150</v>
      </c>
      <c r="AU11" t="s">
        <v>69</v>
      </c>
      <c r="AV11">
        <v>119.119</v>
      </c>
      <c r="AW11" t="s">
        <v>69</v>
      </c>
      <c r="AX11" t="s">
        <v>69</v>
      </c>
      <c r="AY11">
        <v>342</v>
      </c>
      <c r="AZ11" t="s">
        <v>76</v>
      </c>
      <c r="BA11" t="s">
        <v>69</v>
      </c>
      <c r="BB11" t="s">
        <v>75</v>
      </c>
      <c r="BC11" t="s">
        <v>69</v>
      </c>
      <c r="BD11">
        <v>146.18899999999999</v>
      </c>
      <c r="BE11" t="s">
        <v>69</v>
      </c>
      <c r="BF11" t="s">
        <v>69</v>
      </c>
      <c r="BG11">
        <v>389</v>
      </c>
      <c r="BH11" t="s">
        <v>119</v>
      </c>
      <c r="BI11" t="s">
        <v>69</v>
      </c>
      <c r="BJ11" t="s">
        <v>120</v>
      </c>
      <c r="BK11" t="s">
        <v>69</v>
      </c>
      <c r="BL11">
        <v>147.131</v>
      </c>
      <c r="BM11" t="s">
        <v>69</v>
      </c>
      <c r="BN11" t="s">
        <v>69</v>
      </c>
      <c r="BO11">
        <v>391</v>
      </c>
      <c r="BP11" t="s">
        <v>70</v>
      </c>
      <c r="BQ11" t="s">
        <v>69</v>
      </c>
      <c r="BR11" t="s">
        <v>71</v>
      </c>
      <c r="BS11" t="s">
        <v>69</v>
      </c>
      <c r="BT11">
        <v>75.066999999999993</v>
      </c>
      <c r="BU11" t="s">
        <v>69</v>
      </c>
      <c r="BV11" t="s">
        <v>69</v>
      </c>
      <c r="BW11">
        <v>392</v>
      </c>
      <c r="BX11" t="s">
        <v>76</v>
      </c>
      <c r="BY11" t="s">
        <v>69</v>
      </c>
      <c r="BZ11" t="s">
        <v>75</v>
      </c>
      <c r="CA11" t="s">
        <v>69</v>
      </c>
      <c r="CB11">
        <v>146.18899999999999</v>
      </c>
      <c r="CC11" t="s">
        <v>69</v>
      </c>
      <c r="CD11" t="s">
        <v>69</v>
      </c>
      <c r="CE11">
        <v>436</v>
      </c>
      <c r="CF11" t="s">
        <v>155</v>
      </c>
      <c r="CG11" t="s">
        <v>69</v>
      </c>
      <c r="CH11" t="s">
        <v>150</v>
      </c>
      <c r="CI11" t="s">
        <v>69</v>
      </c>
      <c r="CJ11">
        <v>105.093</v>
      </c>
      <c r="CK11" t="s">
        <v>69</v>
      </c>
      <c r="CL11" t="s">
        <v>69</v>
      </c>
      <c r="CM11">
        <v>438</v>
      </c>
      <c r="CN11" t="s">
        <v>147</v>
      </c>
      <c r="CO11" t="s">
        <v>69</v>
      </c>
      <c r="CP11" t="s">
        <v>148</v>
      </c>
      <c r="CQ11" t="s">
        <v>69</v>
      </c>
      <c r="CR11">
        <v>146.14599999999999</v>
      </c>
      <c r="CS11" t="s">
        <v>69</v>
      </c>
      <c r="CT11" t="s">
        <v>69</v>
      </c>
      <c r="CU11">
        <v>439</v>
      </c>
      <c r="CV11" t="s">
        <v>70</v>
      </c>
      <c r="CW11" t="s">
        <v>69</v>
      </c>
      <c r="CX11" t="s">
        <v>71</v>
      </c>
      <c r="CY11" t="s">
        <v>69</v>
      </c>
      <c r="CZ11">
        <v>75.066999999999993</v>
      </c>
      <c r="DA11" t="s">
        <v>69</v>
      </c>
      <c r="DB11" t="s">
        <v>69</v>
      </c>
      <c r="DC11">
        <v>441</v>
      </c>
      <c r="DD11" t="s">
        <v>155</v>
      </c>
      <c r="DE11" t="s">
        <v>69</v>
      </c>
      <c r="DF11" t="s">
        <v>150</v>
      </c>
      <c r="DG11" t="s">
        <v>69</v>
      </c>
      <c r="DH11">
        <v>105.093</v>
      </c>
      <c r="DI11" t="s">
        <v>69</v>
      </c>
      <c r="DJ11" t="s">
        <v>69</v>
      </c>
      <c r="DK11">
        <v>460</v>
      </c>
      <c r="DL11" t="s">
        <v>155</v>
      </c>
      <c r="DM11" t="s">
        <v>69</v>
      </c>
      <c r="DN11" t="s">
        <v>150</v>
      </c>
      <c r="DO11" t="s">
        <v>69</v>
      </c>
      <c r="DP11">
        <v>105.093</v>
      </c>
      <c r="DQ11" t="s">
        <v>69</v>
      </c>
      <c r="DR11" t="s">
        <v>69</v>
      </c>
      <c r="DS11">
        <v>462</v>
      </c>
      <c r="DT11" t="s">
        <v>70</v>
      </c>
      <c r="DU11" t="s">
        <v>69</v>
      </c>
      <c r="DV11" t="s">
        <v>71</v>
      </c>
      <c r="DW11" t="s">
        <v>69</v>
      </c>
      <c r="DX11">
        <v>75.066999999999993</v>
      </c>
      <c r="DY11" t="s">
        <v>69</v>
      </c>
      <c r="DZ11" t="s">
        <v>69</v>
      </c>
      <c r="EA11">
        <v>464</v>
      </c>
      <c r="EB11" t="s">
        <v>70</v>
      </c>
      <c r="EC11" t="s">
        <v>69</v>
      </c>
      <c r="ED11" t="s">
        <v>71</v>
      </c>
      <c r="EE11" t="s">
        <v>69</v>
      </c>
      <c r="EF11">
        <v>75.066999999999993</v>
      </c>
      <c r="EG11" t="s">
        <v>69</v>
      </c>
      <c r="EH11" t="s">
        <v>69</v>
      </c>
    </row>
    <row r="12" spans="1:138" x14ac:dyDescent="0.25">
      <c r="A12">
        <v>7</v>
      </c>
      <c r="B12" t="str">
        <f>HYPERLINK("http://www.ncbi.nlm.nih.gov/protein/XP_045857749.1","XP_045857749.1")</f>
        <v>XP_045857749.1</v>
      </c>
      <c r="C12">
        <v>50752</v>
      </c>
      <c r="D12" t="str">
        <f>HYPERLINK("http://www.ncbi.nlm.nih.gov/Taxonomy/Browser/wwwtax.cgi?mode=Info&amp;id=9662&amp;lvl=3&amp;lin=f&amp;keep=1&amp;srchmode=1&amp;unlock","9662")</f>
        <v>9662</v>
      </c>
      <c r="E12" t="s">
        <v>66</v>
      </c>
      <c r="F12" t="str">
        <f>HYPERLINK("http://www.ncbi.nlm.nih.gov/Taxonomy/Browser/wwwtax.cgi?mode=Info&amp;id=9662&amp;lvl=3&amp;lin=f&amp;keep=1&amp;srchmode=1&amp;unlock","Meles meles")</f>
        <v>Meles meles</v>
      </c>
      <c r="G12" t="s">
        <v>99</v>
      </c>
      <c r="H12" t="str">
        <f>HYPERLINK("http://www.ncbi.nlm.nih.gov/protein/XP_045857749.1","transmembrane protease serine 2 isoform X2")</f>
        <v>transmembrane protease serine 2 isoform X2</v>
      </c>
      <c r="I12" t="s">
        <v>269</v>
      </c>
      <c r="J12" t="s">
        <v>69</v>
      </c>
      <c r="K12">
        <v>296</v>
      </c>
      <c r="L12" t="s">
        <v>157</v>
      </c>
      <c r="M12" t="s">
        <v>69</v>
      </c>
      <c r="N12" t="s">
        <v>75</v>
      </c>
      <c r="O12" t="s">
        <v>69</v>
      </c>
      <c r="P12">
        <v>155.15600000000001</v>
      </c>
      <c r="Q12" t="s">
        <v>69</v>
      </c>
      <c r="R12" t="s">
        <v>69</v>
      </c>
      <c r="S12">
        <v>299</v>
      </c>
      <c r="T12" t="s">
        <v>119</v>
      </c>
      <c r="U12" t="s">
        <v>69</v>
      </c>
      <c r="V12" t="s">
        <v>120</v>
      </c>
      <c r="W12" t="s">
        <v>69</v>
      </c>
      <c r="X12">
        <v>147.131</v>
      </c>
      <c r="Y12" t="s">
        <v>69</v>
      </c>
      <c r="Z12" t="s">
        <v>69</v>
      </c>
      <c r="AA12">
        <v>338</v>
      </c>
      <c r="AB12" t="s">
        <v>156</v>
      </c>
      <c r="AC12" t="s">
        <v>69</v>
      </c>
      <c r="AD12" t="s">
        <v>120</v>
      </c>
      <c r="AE12" t="s">
        <v>69</v>
      </c>
      <c r="AF12">
        <v>133.10400000000001</v>
      </c>
      <c r="AG12" t="s">
        <v>69</v>
      </c>
      <c r="AH12" t="s">
        <v>69</v>
      </c>
      <c r="AI12">
        <v>340</v>
      </c>
      <c r="AJ12" t="s">
        <v>76</v>
      </c>
      <c r="AK12" t="s">
        <v>69</v>
      </c>
      <c r="AL12" t="s">
        <v>75</v>
      </c>
      <c r="AM12" t="s">
        <v>69</v>
      </c>
      <c r="AN12">
        <v>146.18899999999999</v>
      </c>
      <c r="AO12" t="s">
        <v>69</v>
      </c>
      <c r="AP12" t="s">
        <v>69</v>
      </c>
      <c r="AQ12">
        <v>341</v>
      </c>
      <c r="AR12" t="s">
        <v>149</v>
      </c>
      <c r="AS12" t="s">
        <v>69</v>
      </c>
      <c r="AT12" t="s">
        <v>150</v>
      </c>
      <c r="AU12" t="s">
        <v>69</v>
      </c>
      <c r="AV12">
        <v>119.119</v>
      </c>
      <c r="AW12" t="s">
        <v>69</v>
      </c>
      <c r="AX12" t="s">
        <v>69</v>
      </c>
      <c r="AY12">
        <v>342</v>
      </c>
      <c r="AZ12" t="s">
        <v>76</v>
      </c>
      <c r="BA12" t="s">
        <v>69</v>
      </c>
      <c r="BB12" t="s">
        <v>75</v>
      </c>
      <c r="BC12" t="s">
        <v>69</v>
      </c>
      <c r="BD12">
        <v>146.18899999999999</v>
      </c>
      <c r="BE12" t="s">
        <v>69</v>
      </c>
      <c r="BF12" t="s">
        <v>69</v>
      </c>
      <c r="BG12">
        <v>389</v>
      </c>
      <c r="BH12" t="s">
        <v>119</v>
      </c>
      <c r="BI12" t="s">
        <v>69</v>
      </c>
      <c r="BJ12" t="s">
        <v>120</v>
      </c>
      <c r="BK12" t="s">
        <v>69</v>
      </c>
      <c r="BL12">
        <v>147.131</v>
      </c>
      <c r="BM12" t="s">
        <v>69</v>
      </c>
      <c r="BN12" t="s">
        <v>69</v>
      </c>
      <c r="BO12">
        <v>391</v>
      </c>
      <c r="BP12" t="s">
        <v>70</v>
      </c>
      <c r="BQ12" t="s">
        <v>69</v>
      </c>
      <c r="BR12" t="s">
        <v>71</v>
      </c>
      <c r="BS12" t="s">
        <v>69</v>
      </c>
      <c r="BT12">
        <v>75.066999999999993</v>
      </c>
      <c r="BU12" t="s">
        <v>69</v>
      </c>
      <c r="BV12" t="s">
        <v>69</v>
      </c>
      <c r="BW12">
        <v>392</v>
      </c>
      <c r="BX12" t="s">
        <v>76</v>
      </c>
      <c r="BY12" t="s">
        <v>69</v>
      </c>
      <c r="BZ12" t="s">
        <v>75</v>
      </c>
      <c r="CA12" t="s">
        <v>69</v>
      </c>
      <c r="CB12">
        <v>146.18899999999999</v>
      </c>
      <c r="CC12" t="s">
        <v>69</v>
      </c>
      <c r="CD12" t="s">
        <v>69</v>
      </c>
      <c r="CE12">
        <v>436</v>
      </c>
      <c r="CF12" t="s">
        <v>155</v>
      </c>
      <c r="CG12" t="s">
        <v>69</v>
      </c>
      <c r="CH12" t="s">
        <v>150</v>
      </c>
      <c r="CI12" t="s">
        <v>69</v>
      </c>
      <c r="CJ12">
        <v>105.093</v>
      </c>
      <c r="CK12" t="s">
        <v>69</v>
      </c>
      <c r="CL12" t="s">
        <v>69</v>
      </c>
      <c r="CM12">
        <v>438</v>
      </c>
      <c r="CN12" t="s">
        <v>147</v>
      </c>
      <c r="CO12" t="s">
        <v>69</v>
      </c>
      <c r="CP12" t="s">
        <v>148</v>
      </c>
      <c r="CQ12" t="s">
        <v>69</v>
      </c>
      <c r="CR12">
        <v>146.14599999999999</v>
      </c>
      <c r="CS12" t="s">
        <v>69</v>
      </c>
      <c r="CT12" t="s">
        <v>69</v>
      </c>
      <c r="CU12">
        <v>439</v>
      </c>
      <c r="CV12" t="s">
        <v>70</v>
      </c>
      <c r="CW12" t="s">
        <v>69</v>
      </c>
      <c r="CX12" t="s">
        <v>71</v>
      </c>
      <c r="CY12" t="s">
        <v>69</v>
      </c>
      <c r="CZ12">
        <v>75.066999999999993</v>
      </c>
      <c r="DA12" t="s">
        <v>69</v>
      </c>
      <c r="DB12" t="s">
        <v>69</v>
      </c>
      <c r="DC12">
        <v>441</v>
      </c>
      <c r="DD12" t="s">
        <v>155</v>
      </c>
      <c r="DE12" t="s">
        <v>69</v>
      </c>
      <c r="DF12" t="s">
        <v>150</v>
      </c>
      <c r="DG12" t="s">
        <v>69</v>
      </c>
      <c r="DH12">
        <v>105.093</v>
      </c>
      <c r="DI12" t="s">
        <v>69</v>
      </c>
      <c r="DJ12" t="s">
        <v>69</v>
      </c>
      <c r="DK12">
        <v>460</v>
      </c>
      <c r="DL12" t="s">
        <v>155</v>
      </c>
      <c r="DM12" t="s">
        <v>69</v>
      </c>
      <c r="DN12" t="s">
        <v>150</v>
      </c>
      <c r="DO12" t="s">
        <v>69</v>
      </c>
      <c r="DP12">
        <v>105.093</v>
      </c>
      <c r="DQ12" t="s">
        <v>69</v>
      </c>
      <c r="DR12" t="s">
        <v>69</v>
      </c>
      <c r="DS12">
        <v>462</v>
      </c>
      <c r="DT12" t="s">
        <v>70</v>
      </c>
      <c r="DU12" t="s">
        <v>69</v>
      </c>
      <c r="DV12" t="s">
        <v>71</v>
      </c>
      <c r="DW12" t="s">
        <v>69</v>
      </c>
      <c r="DX12">
        <v>75.066999999999993</v>
      </c>
      <c r="DY12" t="s">
        <v>69</v>
      </c>
      <c r="DZ12" t="s">
        <v>69</v>
      </c>
      <c r="EA12">
        <v>464</v>
      </c>
      <c r="EB12" t="s">
        <v>70</v>
      </c>
      <c r="EC12" t="s">
        <v>69</v>
      </c>
      <c r="ED12" t="s">
        <v>71</v>
      </c>
      <c r="EE12" t="s">
        <v>69</v>
      </c>
      <c r="EF12">
        <v>75.066999999999993</v>
      </c>
      <c r="EG12" t="s">
        <v>69</v>
      </c>
      <c r="EH12" t="s">
        <v>69</v>
      </c>
    </row>
    <row r="13" spans="1:138" x14ac:dyDescent="0.25">
      <c r="A13">
        <v>7</v>
      </c>
      <c r="B13" t="str">
        <f>HYPERLINK("http://www.ncbi.nlm.nih.gov/protein/NP_056590.2","NP_056590.2")</f>
        <v>NP_056590.2</v>
      </c>
      <c r="C13">
        <v>337449</v>
      </c>
      <c r="D13" t="str">
        <f>HYPERLINK("http://www.ncbi.nlm.nih.gov/Taxonomy/Browser/wwwtax.cgi?mode=Info&amp;id=10090&amp;lvl=3&amp;lin=f&amp;keep=1&amp;srchmode=1&amp;unlock","10090")</f>
        <v>10090</v>
      </c>
      <c r="E13" t="s">
        <v>66</v>
      </c>
      <c r="F13" t="str">
        <f>HYPERLINK("http://www.ncbi.nlm.nih.gov/Taxonomy/Browser/wwwtax.cgi?mode=Info&amp;id=10090&amp;lvl=3&amp;lin=f&amp;keep=1&amp;srchmode=1&amp;unlock","Mus musculus")</f>
        <v>Mus musculus</v>
      </c>
      <c r="G13" t="s">
        <v>104</v>
      </c>
      <c r="H13" t="str">
        <f>HYPERLINK("http://www.ncbi.nlm.nih.gov/protein/NP_056590.2","transmembrane protease serine 2")</f>
        <v>transmembrane protease serine 2</v>
      </c>
      <c r="I13" t="s">
        <v>269</v>
      </c>
      <c r="J13" t="s">
        <v>69</v>
      </c>
      <c r="K13">
        <v>294</v>
      </c>
      <c r="L13" t="s">
        <v>157</v>
      </c>
      <c r="M13" t="s">
        <v>69</v>
      </c>
      <c r="N13" t="s">
        <v>75</v>
      </c>
      <c r="O13" t="s">
        <v>69</v>
      </c>
      <c r="P13">
        <v>155.15600000000001</v>
      </c>
      <c r="Q13" t="s">
        <v>69</v>
      </c>
      <c r="R13" t="s">
        <v>69</v>
      </c>
      <c r="S13">
        <v>297</v>
      </c>
      <c r="T13" t="s">
        <v>119</v>
      </c>
      <c r="U13" t="s">
        <v>69</v>
      </c>
      <c r="V13" t="s">
        <v>120</v>
      </c>
      <c r="W13" t="s">
        <v>69</v>
      </c>
      <c r="X13">
        <v>147.131</v>
      </c>
      <c r="Y13" t="s">
        <v>69</v>
      </c>
      <c r="Z13" t="s">
        <v>69</v>
      </c>
      <c r="AA13">
        <v>336</v>
      </c>
      <c r="AB13" t="s">
        <v>156</v>
      </c>
      <c r="AC13" t="s">
        <v>69</v>
      </c>
      <c r="AD13" t="s">
        <v>120</v>
      </c>
      <c r="AE13" t="s">
        <v>69</v>
      </c>
      <c r="AF13">
        <v>133.10400000000001</v>
      </c>
      <c r="AG13" t="s">
        <v>69</v>
      </c>
      <c r="AH13" t="s">
        <v>69</v>
      </c>
      <c r="AI13">
        <v>338</v>
      </c>
      <c r="AJ13" t="s">
        <v>76</v>
      </c>
      <c r="AK13" t="s">
        <v>69</v>
      </c>
      <c r="AL13" t="s">
        <v>75</v>
      </c>
      <c r="AM13" t="s">
        <v>69</v>
      </c>
      <c r="AN13">
        <v>146.18899999999999</v>
      </c>
      <c r="AO13" t="s">
        <v>69</v>
      </c>
      <c r="AP13" t="s">
        <v>69</v>
      </c>
      <c r="AQ13">
        <v>339</v>
      </c>
      <c r="AR13" t="s">
        <v>149</v>
      </c>
      <c r="AS13" t="s">
        <v>69</v>
      </c>
      <c r="AT13" t="s">
        <v>150</v>
      </c>
      <c r="AU13" t="s">
        <v>69</v>
      </c>
      <c r="AV13">
        <v>119.119</v>
      </c>
      <c r="AW13" t="s">
        <v>69</v>
      </c>
      <c r="AX13" t="s">
        <v>69</v>
      </c>
      <c r="AY13">
        <v>340</v>
      </c>
      <c r="AZ13" t="s">
        <v>76</v>
      </c>
      <c r="BA13" t="s">
        <v>69</v>
      </c>
      <c r="BB13" t="s">
        <v>75</v>
      </c>
      <c r="BC13" t="s">
        <v>69</v>
      </c>
      <c r="BD13">
        <v>146.18899999999999</v>
      </c>
      <c r="BE13" t="s">
        <v>69</v>
      </c>
      <c r="BF13" t="s">
        <v>69</v>
      </c>
      <c r="BG13">
        <v>387</v>
      </c>
      <c r="BH13" t="s">
        <v>119</v>
      </c>
      <c r="BI13" t="s">
        <v>69</v>
      </c>
      <c r="BJ13" t="s">
        <v>120</v>
      </c>
      <c r="BK13" t="s">
        <v>69</v>
      </c>
      <c r="BL13">
        <v>147.131</v>
      </c>
      <c r="BM13" t="s">
        <v>69</v>
      </c>
      <c r="BN13" t="s">
        <v>69</v>
      </c>
      <c r="BO13">
        <v>389</v>
      </c>
      <c r="BP13" t="s">
        <v>70</v>
      </c>
      <c r="BQ13" t="s">
        <v>69</v>
      </c>
      <c r="BR13" t="s">
        <v>71</v>
      </c>
      <c r="BS13" t="s">
        <v>69</v>
      </c>
      <c r="BT13">
        <v>75.066999999999993</v>
      </c>
      <c r="BU13" t="s">
        <v>69</v>
      </c>
      <c r="BV13" t="s">
        <v>69</v>
      </c>
      <c r="BW13">
        <v>390</v>
      </c>
      <c r="BX13" t="s">
        <v>76</v>
      </c>
      <c r="BY13" t="s">
        <v>69</v>
      </c>
      <c r="BZ13" t="s">
        <v>75</v>
      </c>
      <c r="CA13" t="s">
        <v>69</v>
      </c>
      <c r="CB13">
        <v>146.18899999999999</v>
      </c>
      <c r="CC13" t="s">
        <v>69</v>
      </c>
      <c r="CD13" t="s">
        <v>69</v>
      </c>
      <c r="CE13">
        <v>434</v>
      </c>
      <c r="CF13" t="s">
        <v>155</v>
      </c>
      <c r="CG13" t="s">
        <v>69</v>
      </c>
      <c r="CH13" t="s">
        <v>150</v>
      </c>
      <c r="CI13" t="s">
        <v>69</v>
      </c>
      <c r="CJ13">
        <v>105.093</v>
      </c>
      <c r="CK13" t="s">
        <v>69</v>
      </c>
      <c r="CL13" t="s">
        <v>69</v>
      </c>
      <c r="CM13">
        <v>436</v>
      </c>
      <c r="CN13" t="s">
        <v>147</v>
      </c>
      <c r="CO13" t="s">
        <v>69</v>
      </c>
      <c r="CP13" t="s">
        <v>148</v>
      </c>
      <c r="CQ13" t="s">
        <v>69</v>
      </c>
      <c r="CR13">
        <v>146.14599999999999</v>
      </c>
      <c r="CS13" t="s">
        <v>69</v>
      </c>
      <c r="CT13" t="s">
        <v>69</v>
      </c>
      <c r="CU13">
        <v>437</v>
      </c>
      <c r="CV13" t="s">
        <v>70</v>
      </c>
      <c r="CW13" t="s">
        <v>69</v>
      </c>
      <c r="CX13" t="s">
        <v>71</v>
      </c>
      <c r="CY13" t="s">
        <v>69</v>
      </c>
      <c r="CZ13">
        <v>75.066999999999993</v>
      </c>
      <c r="DA13" t="s">
        <v>69</v>
      </c>
      <c r="DB13" t="s">
        <v>69</v>
      </c>
      <c r="DC13">
        <v>439</v>
      </c>
      <c r="DD13" t="s">
        <v>155</v>
      </c>
      <c r="DE13" t="s">
        <v>69</v>
      </c>
      <c r="DF13" t="s">
        <v>150</v>
      </c>
      <c r="DG13" t="s">
        <v>69</v>
      </c>
      <c r="DH13">
        <v>105.093</v>
      </c>
      <c r="DI13" t="s">
        <v>69</v>
      </c>
      <c r="DJ13" t="s">
        <v>69</v>
      </c>
      <c r="DK13">
        <v>458</v>
      </c>
      <c r="DL13" t="s">
        <v>155</v>
      </c>
      <c r="DM13" t="s">
        <v>69</v>
      </c>
      <c r="DN13" t="s">
        <v>150</v>
      </c>
      <c r="DO13" t="s">
        <v>69</v>
      </c>
      <c r="DP13">
        <v>105.093</v>
      </c>
      <c r="DQ13" t="s">
        <v>69</v>
      </c>
      <c r="DR13" t="s">
        <v>69</v>
      </c>
      <c r="DS13">
        <v>460</v>
      </c>
      <c r="DT13" t="s">
        <v>70</v>
      </c>
      <c r="DU13" t="s">
        <v>69</v>
      </c>
      <c r="DV13" t="s">
        <v>71</v>
      </c>
      <c r="DW13" t="s">
        <v>69</v>
      </c>
      <c r="DX13">
        <v>75.066999999999993</v>
      </c>
      <c r="DY13" t="s">
        <v>69</v>
      </c>
      <c r="DZ13" t="s">
        <v>69</v>
      </c>
      <c r="EA13">
        <v>462</v>
      </c>
      <c r="EB13" t="s">
        <v>70</v>
      </c>
      <c r="EC13" t="s">
        <v>69</v>
      </c>
      <c r="ED13" t="s">
        <v>71</v>
      </c>
      <c r="EE13" t="s">
        <v>69</v>
      </c>
      <c r="EF13">
        <v>75.066999999999993</v>
      </c>
      <c r="EG13" t="s">
        <v>69</v>
      </c>
      <c r="EH13" t="s">
        <v>69</v>
      </c>
    </row>
    <row r="14" spans="1:138" x14ac:dyDescent="0.25">
      <c r="A14">
        <v>7</v>
      </c>
      <c r="B14" t="str">
        <f>HYPERLINK("http://www.ncbi.nlm.nih.gov/protein/XP_036870731.1","XP_036870731.1")</f>
        <v>XP_036870731.1</v>
      </c>
      <c r="C14">
        <v>56064</v>
      </c>
      <c r="D14" t="str">
        <f>HYPERLINK("http://www.ncbi.nlm.nih.gov/Taxonomy/Browser/wwwtax.cgi?mode=Info&amp;id=9974&amp;lvl=3&amp;lin=f&amp;keep=1&amp;srchmode=1&amp;unlock","9974")</f>
        <v>9974</v>
      </c>
      <c r="E14" t="s">
        <v>66</v>
      </c>
      <c r="F14" t="str">
        <f>HYPERLINK("http://www.ncbi.nlm.nih.gov/Taxonomy/Browser/wwwtax.cgi?mode=Info&amp;id=9974&amp;lvl=3&amp;lin=f&amp;keep=1&amp;srchmode=1&amp;unlock","Manis javanica")</f>
        <v>Manis javanica</v>
      </c>
      <c r="G14" t="s">
        <v>100</v>
      </c>
      <c r="H14" t="str">
        <f>HYPERLINK("http://www.ncbi.nlm.nih.gov/protein/XP_036870731.1","transmembrane protease serine 2 isoform X1")</f>
        <v>transmembrane protease serine 2 isoform X1</v>
      </c>
      <c r="I14" t="s">
        <v>269</v>
      </c>
      <c r="J14" t="s">
        <v>69</v>
      </c>
      <c r="K14">
        <v>296</v>
      </c>
      <c r="L14" t="s">
        <v>157</v>
      </c>
      <c r="M14" t="s">
        <v>69</v>
      </c>
      <c r="N14" t="s">
        <v>75</v>
      </c>
      <c r="O14" t="s">
        <v>69</v>
      </c>
      <c r="P14">
        <v>155.15600000000001</v>
      </c>
      <c r="Q14" t="s">
        <v>69</v>
      </c>
      <c r="R14" t="s">
        <v>69</v>
      </c>
      <c r="S14">
        <v>299</v>
      </c>
      <c r="T14" t="s">
        <v>119</v>
      </c>
      <c r="U14" t="s">
        <v>69</v>
      </c>
      <c r="V14" t="s">
        <v>120</v>
      </c>
      <c r="W14" t="s">
        <v>69</v>
      </c>
      <c r="X14">
        <v>147.131</v>
      </c>
      <c r="Y14" t="s">
        <v>69</v>
      </c>
      <c r="Z14" t="s">
        <v>69</v>
      </c>
      <c r="AA14">
        <v>338</v>
      </c>
      <c r="AB14" t="s">
        <v>156</v>
      </c>
      <c r="AC14" t="s">
        <v>69</v>
      </c>
      <c r="AD14" t="s">
        <v>120</v>
      </c>
      <c r="AE14" t="s">
        <v>69</v>
      </c>
      <c r="AF14">
        <v>133.10400000000001</v>
      </c>
      <c r="AG14" t="s">
        <v>69</v>
      </c>
      <c r="AH14" t="s">
        <v>69</v>
      </c>
      <c r="AI14">
        <v>340</v>
      </c>
      <c r="AJ14" t="s">
        <v>147</v>
      </c>
      <c r="AK14" t="s">
        <v>153</v>
      </c>
      <c r="AL14" t="s">
        <v>148</v>
      </c>
      <c r="AM14" t="s">
        <v>153</v>
      </c>
      <c r="AN14">
        <v>146.14599999999999</v>
      </c>
      <c r="AO14" t="s">
        <v>69</v>
      </c>
      <c r="AP14" t="s">
        <v>69</v>
      </c>
      <c r="AQ14">
        <v>341</v>
      </c>
      <c r="AR14" t="s">
        <v>149</v>
      </c>
      <c r="AS14" t="s">
        <v>69</v>
      </c>
      <c r="AT14" t="s">
        <v>150</v>
      </c>
      <c r="AU14" t="s">
        <v>69</v>
      </c>
      <c r="AV14">
        <v>119.119</v>
      </c>
      <c r="AW14" t="s">
        <v>69</v>
      </c>
      <c r="AX14" t="s">
        <v>69</v>
      </c>
      <c r="AY14">
        <v>342</v>
      </c>
      <c r="AZ14" t="s">
        <v>76</v>
      </c>
      <c r="BA14" t="s">
        <v>69</v>
      </c>
      <c r="BB14" t="s">
        <v>75</v>
      </c>
      <c r="BC14" t="s">
        <v>69</v>
      </c>
      <c r="BD14">
        <v>146.18899999999999</v>
      </c>
      <c r="BE14" t="s">
        <v>69</v>
      </c>
      <c r="BF14" t="s">
        <v>69</v>
      </c>
      <c r="BG14">
        <v>389</v>
      </c>
      <c r="BH14" t="s">
        <v>119</v>
      </c>
      <c r="BI14" t="s">
        <v>69</v>
      </c>
      <c r="BJ14" t="s">
        <v>120</v>
      </c>
      <c r="BK14" t="s">
        <v>69</v>
      </c>
      <c r="BL14">
        <v>147.131</v>
      </c>
      <c r="BM14" t="s">
        <v>69</v>
      </c>
      <c r="BN14" t="s">
        <v>69</v>
      </c>
      <c r="BO14">
        <v>391</v>
      </c>
      <c r="BP14" t="s">
        <v>70</v>
      </c>
      <c r="BQ14" t="s">
        <v>69</v>
      </c>
      <c r="BR14" t="s">
        <v>71</v>
      </c>
      <c r="BS14" t="s">
        <v>69</v>
      </c>
      <c r="BT14">
        <v>75.066999999999993</v>
      </c>
      <c r="BU14" t="s">
        <v>69</v>
      </c>
      <c r="BV14" t="s">
        <v>69</v>
      </c>
      <c r="BW14">
        <v>392</v>
      </c>
      <c r="BX14" t="s">
        <v>76</v>
      </c>
      <c r="BY14" t="s">
        <v>69</v>
      </c>
      <c r="BZ14" t="s">
        <v>75</v>
      </c>
      <c r="CA14" t="s">
        <v>69</v>
      </c>
      <c r="CB14">
        <v>146.18899999999999</v>
      </c>
      <c r="CC14" t="s">
        <v>69</v>
      </c>
      <c r="CD14" t="s">
        <v>69</v>
      </c>
      <c r="CE14">
        <v>436</v>
      </c>
      <c r="CF14" t="s">
        <v>155</v>
      </c>
      <c r="CG14" t="s">
        <v>69</v>
      </c>
      <c r="CH14" t="s">
        <v>150</v>
      </c>
      <c r="CI14" t="s">
        <v>69</v>
      </c>
      <c r="CJ14">
        <v>105.093</v>
      </c>
      <c r="CK14" t="s">
        <v>69</v>
      </c>
      <c r="CL14" t="s">
        <v>69</v>
      </c>
      <c r="CM14">
        <v>438</v>
      </c>
      <c r="CN14" t="s">
        <v>147</v>
      </c>
      <c r="CO14" t="s">
        <v>69</v>
      </c>
      <c r="CP14" t="s">
        <v>148</v>
      </c>
      <c r="CQ14" t="s">
        <v>69</v>
      </c>
      <c r="CR14">
        <v>146.14599999999999</v>
      </c>
      <c r="CS14" t="s">
        <v>69</v>
      </c>
      <c r="CT14" t="s">
        <v>69</v>
      </c>
      <c r="CU14">
        <v>439</v>
      </c>
      <c r="CV14" t="s">
        <v>70</v>
      </c>
      <c r="CW14" t="s">
        <v>69</v>
      </c>
      <c r="CX14" t="s">
        <v>71</v>
      </c>
      <c r="CY14" t="s">
        <v>69</v>
      </c>
      <c r="CZ14">
        <v>75.066999999999993</v>
      </c>
      <c r="DA14" t="s">
        <v>69</v>
      </c>
      <c r="DB14" t="s">
        <v>69</v>
      </c>
      <c r="DC14">
        <v>441</v>
      </c>
      <c r="DD14" t="s">
        <v>155</v>
      </c>
      <c r="DE14" t="s">
        <v>69</v>
      </c>
      <c r="DF14" t="s">
        <v>150</v>
      </c>
      <c r="DG14" t="s">
        <v>69</v>
      </c>
      <c r="DH14">
        <v>105.093</v>
      </c>
      <c r="DI14" t="s">
        <v>69</v>
      </c>
      <c r="DJ14" t="s">
        <v>69</v>
      </c>
      <c r="DK14">
        <v>460</v>
      </c>
      <c r="DL14" t="s">
        <v>155</v>
      </c>
      <c r="DM14" t="s">
        <v>69</v>
      </c>
      <c r="DN14" t="s">
        <v>150</v>
      </c>
      <c r="DO14" t="s">
        <v>69</v>
      </c>
      <c r="DP14">
        <v>105.093</v>
      </c>
      <c r="DQ14" t="s">
        <v>69</v>
      </c>
      <c r="DR14" t="s">
        <v>69</v>
      </c>
      <c r="DS14">
        <v>462</v>
      </c>
      <c r="DT14" t="s">
        <v>70</v>
      </c>
      <c r="DU14" t="s">
        <v>69</v>
      </c>
      <c r="DV14" t="s">
        <v>71</v>
      </c>
      <c r="DW14" t="s">
        <v>69</v>
      </c>
      <c r="DX14">
        <v>75.066999999999993</v>
      </c>
      <c r="DY14" t="s">
        <v>69</v>
      </c>
      <c r="DZ14" t="s">
        <v>69</v>
      </c>
      <c r="EA14">
        <v>464</v>
      </c>
      <c r="EB14" t="s">
        <v>70</v>
      </c>
      <c r="EC14" t="s">
        <v>69</v>
      </c>
      <c r="ED14" t="s">
        <v>71</v>
      </c>
      <c r="EE14" t="s">
        <v>69</v>
      </c>
      <c r="EF14">
        <v>75.066999999999993</v>
      </c>
      <c r="EG14" t="s">
        <v>69</v>
      </c>
      <c r="EH14" t="s">
        <v>69</v>
      </c>
    </row>
    <row r="15" spans="1:138" x14ac:dyDescent="0.25">
      <c r="A15">
        <v>7</v>
      </c>
      <c r="B15" t="str">
        <f>HYPERLINK("http://www.ncbi.nlm.nih.gov/protein/BAF76737.1","BAF76737.1")</f>
        <v>BAF76737.1</v>
      </c>
      <c r="C15">
        <v>86952</v>
      </c>
      <c r="D15" t="str">
        <f>HYPERLINK("http://www.ncbi.nlm.nih.gov/Taxonomy/Browser/wwwtax.cgi?mode=Info&amp;id=9823&amp;lvl=3&amp;lin=f&amp;keep=1&amp;srchmode=1&amp;unlock","9823")</f>
        <v>9823</v>
      </c>
      <c r="E15" t="s">
        <v>66</v>
      </c>
      <c r="F15" t="str">
        <f>HYPERLINK("http://www.ncbi.nlm.nih.gov/Taxonomy/Browser/wwwtax.cgi?mode=Info&amp;id=9823&amp;lvl=3&amp;lin=f&amp;keep=1&amp;srchmode=1&amp;unlock","Sus scrofa")</f>
        <v>Sus scrofa</v>
      </c>
      <c r="G15" t="s">
        <v>85</v>
      </c>
      <c r="H15" t="str">
        <f>HYPERLINK("http://www.ncbi.nlm.nih.gov/protein/BAF76737.1","transmembrane protease, serine 2")</f>
        <v>transmembrane protease, serine 2</v>
      </c>
      <c r="I15" t="s">
        <v>269</v>
      </c>
      <c r="J15" t="s">
        <v>69</v>
      </c>
      <c r="K15">
        <v>299</v>
      </c>
      <c r="L15" t="s">
        <v>157</v>
      </c>
      <c r="M15" t="s">
        <v>69</v>
      </c>
      <c r="N15" t="s">
        <v>75</v>
      </c>
      <c r="O15" t="s">
        <v>69</v>
      </c>
      <c r="P15">
        <v>155.15600000000001</v>
      </c>
      <c r="Q15" t="s">
        <v>69</v>
      </c>
      <c r="R15" t="s">
        <v>69</v>
      </c>
      <c r="S15">
        <v>302</v>
      </c>
      <c r="T15" t="s">
        <v>119</v>
      </c>
      <c r="U15" t="s">
        <v>69</v>
      </c>
      <c r="V15" t="s">
        <v>120</v>
      </c>
      <c r="W15" t="s">
        <v>69</v>
      </c>
      <c r="X15">
        <v>147.131</v>
      </c>
      <c r="Y15" t="s">
        <v>69</v>
      </c>
      <c r="Z15" t="s">
        <v>69</v>
      </c>
      <c r="AA15">
        <v>341</v>
      </c>
      <c r="AB15" t="s">
        <v>156</v>
      </c>
      <c r="AC15" t="s">
        <v>69</v>
      </c>
      <c r="AD15" t="s">
        <v>120</v>
      </c>
      <c r="AE15" t="s">
        <v>69</v>
      </c>
      <c r="AF15">
        <v>133.10400000000001</v>
      </c>
      <c r="AG15" t="s">
        <v>69</v>
      </c>
      <c r="AH15" t="s">
        <v>69</v>
      </c>
      <c r="AI15">
        <v>343</v>
      </c>
      <c r="AJ15" t="s">
        <v>76</v>
      </c>
      <c r="AK15" t="s">
        <v>69</v>
      </c>
      <c r="AL15" t="s">
        <v>75</v>
      </c>
      <c r="AM15" t="s">
        <v>69</v>
      </c>
      <c r="AN15">
        <v>146.18899999999999</v>
      </c>
      <c r="AO15" t="s">
        <v>69</v>
      </c>
      <c r="AP15" t="s">
        <v>69</v>
      </c>
      <c r="AQ15">
        <v>344</v>
      </c>
      <c r="AR15" t="s">
        <v>149</v>
      </c>
      <c r="AS15" t="s">
        <v>69</v>
      </c>
      <c r="AT15" t="s">
        <v>150</v>
      </c>
      <c r="AU15" t="s">
        <v>69</v>
      </c>
      <c r="AV15">
        <v>119.119</v>
      </c>
      <c r="AW15" t="s">
        <v>69</v>
      </c>
      <c r="AX15" t="s">
        <v>69</v>
      </c>
      <c r="AY15">
        <v>345</v>
      </c>
      <c r="AZ15" t="s">
        <v>76</v>
      </c>
      <c r="BA15" t="s">
        <v>69</v>
      </c>
      <c r="BB15" t="s">
        <v>75</v>
      </c>
      <c r="BC15" t="s">
        <v>69</v>
      </c>
      <c r="BD15">
        <v>146.18899999999999</v>
      </c>
      <c r="BE15" t="s">
        <v>69</v>
      </c>
      <c r="BF15" t="s">
        <v>69</v>
      </c>
      <c r="BG15">
        <v>392</v>
      </c>
      <c r="BH15" t="s">
        <v>119</v>
      </c>
      <c r="BI15" t="s">
        <v>69</v>
      </c>
      <c r="BJ15" t="s">
        <v>120</v>
      </c>
      <c r="BK15" t="s">
        <v>69</v>
      </c>
      <c r="BL15">
        <v>147.131</v>
      </c>
      <c r="BM15" t="s">
        <v>69</v>
      </c>
      <c r="BN15" t="s">
        <v>69</v>
      </c>
      <c r="BO15">
        <v>394</v>
      </c>
      <c r="BP15" t="s">
        <v>70</v>
      </c>
      <c r="BQ15" t="s">
        <v>69</v>
      </c>
      <c r="BR15" t="s">
        <v>71</v>
      </c>
      <c r="BS15" t="s">
        <v>69</v>
      </c>
      <c r="BT15">
        <v>75.066999999999993</v>
      </c>
      <c r="BU15" t="s">
        <v>69</v>
      </c>
      <c r="BV15" t="s">
        <v>69</v>
      </c>
      <c r="BW15">
        <v>395</v>
      </c>
      <c r="BX15" t="s">
        <v>76</v>
      </c>
      <c r="BY15" t="s">
        <v>69</v>
      </c>
      <c r="BZ15" t="s">
        <v>75</v>
      </c>
      <c r="CA15" t="s">
        <v>69</v>
      </c>
      <c r="CB15">
        <v>146.18899999999999</v>
      </c>
      <c r="CC15" t="s">
        <v>69</v>
      </c>
      <c r="CD15" t="s">
        <v>69</v>
      </c>
      <c r="CE15">
        <v>439</v>
      </c>
      <c r="CF15" t="s">
        <v>155</v>
      </c>
      <c r="CG15" t="s">
        <v>69</v>
      </c>
      <c r="CH15" t="s">
        <v>150</v>
      </c>
      <c r="CI15" t="s">
        <v>69</v>
      </c>
      <c r="CJ15">
        <v>105.093</v>
      </c>
      <c r="CK15" t="s">
        <v>69</v>
      </c>
      <c r="CL15" t="s">
        <v>69</v>
      </c>
      <c r="CM15">
        <v>441</v>
      </c>
      <c r="CN15" t="s">
        <v>147</v>
      </c>
      <c r="CO15" t="s">
        <v>69</v>
      </c>
      <c r="CP15" t="s">
        <v>148</v>
      </c>
      <c r="CQ15" t="s">
        <v>69</v>
      </c>
      <c r="CR15">
        <v>146.14599999999999</v>
      </c>
      <c r="CS15" t="s">
        <v>69</v>
      </c>
      <c r="CT15" t="s">
        <v>69</v>
      </c>
      <c r="CU15">
        <v>442</v>
      </c>
      <c r="CV15" t="s">
        <v>70</v>
      </c>
      <c r="CW15" t="s">
        <v>69</v>
      </c>
      <c r="CX15" t="s">
        <v>71</v>
      </c>
      <c r="CY15" t="s">
        <v>69</v>
      </c>
      <c r="CZ15">
        <v>75.066999999999993</v>
      </c>
      <c r="DA15" t="s">
        <v>69</v>
      </c>
      <c r="DB15" t="s">
        <v>69</v>
      </c>
      <c r="DC15">
        <v>444</v>
      </c>
      <c r="DD15" t="s">
        <v>155</v>
      </c>
      <c r="DE15" t="s">
        <v>69</v>
      </c>
      <c r="DF15" t="s">
        <v>150</v>
      </c>
      <c r="DG15" t="s">
        <v>69</v>
      </c>
      <c r="DH15">
        <v>105.093</v>
      </c>
      <c r="DI15" t="s">
        <v>69</v>
      </c>
      <c r="DJ15" t="s">
        <v>69</v>
      </c>
      <c r="DK15">
        <v>463</v>
      </c>
      <c r="DL15" t="s">
        <v>155</v>
      </c>
      <c r="DM15" t="s">
        <v>69</v>
      </c>
      <c r="DN15" t="s">
        <v>150</v>
      </c>
      <c r="DO15" t="s">
        <v>69</v>
      </c>
      <c r="DP15">
        <v>105.093</v>
      </c>
      <c r="DQ15" t="s">
        <v>69</v>
      </c>
      <c r="DR15" t="s">
        <v>69</v>
      </c>
      <c r="DS15">
        <v>465</v>
      </c>
      <c r="DT15" t="s">
        <v>70</v>
      </c>
      <c r="DU15" t="s">
        <v>69</v>
      </c>
      <c r="DV15" t="s">
        <v>71</v>
      </c>
      <c r="DW15" t="s">
        <v>69</v>
      </c>
      <c r="DX15">
        <v>75.066999999999993</v>
      </c>
      <c r="DY15" t="s">
        <v>69</v>
      </c>
      <c r="DZ15" t="s">
        <v>69</v>
      </c>
      <c r="EA15">
        <v>467</v>
      </c>
      <c r="EB15" t="s">
        <v>70</v>
      </c>
      <c r="EC15" t="s">
        <v>69</v>
      </c>
      <c r="ED15" t="s">
        <v>71</v>
      </c>
      <c r="EE15" t="s">
        <v>69</v>
      </c>
      <c r="EF15">
        <v>75.066999999999993</v>
      </c>
      <c r="EG15" t="s">
        <v>69</v>
      </c>
      <c r="EH15" t="s">
        <v>69</v>
      </c>
    </row>
    <row r="16" spans="1:138" x14ac:dyDescent="0.25">
      <c r="A16">
        <v>7</v>
      </c>
      <c r="B16" t="str">
        <f>HYPERLINK("http://www.ncbi.nlm.nih.gov/protein/XP_020763597.1","XP_020763597.1")</f>
        <v>XP_020763597.1</v>
      </c>
      <c r="C16">
        <v>48218</v>
      </c>
      <c r="D16" t="str">
        <f>HYPERLINK("http://www.ncbi.nlm.nih.gov/Taxonomy/Browser/wwwtax.cgi?mode=Info&amp;id=9880&amp;lvl=3&amp;lin=f&amp;keep=1&amp;srchmode=1&amp;unlock","9880")</f>
        <v>9880</v>
      </c>
      <c r="E16" t="s">
        <v>66</v>
      </c>
      <c r="F16" t="str">
        <f>HYPERLINK("http://www.ncbi.nlm.nih.gov/Taxonomy/Browser/wwwtax.cgi?mode=Info&amp;id=9880&amp;lvl=3&amp;lin=f&amp;keep=1&amp;srchmode=1&amp;unlock","Odocoileus virginianus texanus")</f>
        <v>Odocoileus virginianus texanus</v>
      </c>
      <c r="G16" t="s">
        <v>81</v>
      </c>
      <c r="H16" t="str">
        <f>HYPERLINK("http://www.ncbi.nlm.nih.gov/protein/XP_020763597.1","transmembrane protease serine 2 isoform X1")</f>
        <v>transmembrane protease serine 2 isoform X1</v>
      </c>
      <c r="I16" t="s">
        <v>269</v>
      </c>
      <c r="J16" t="s">
        <v>69</v>
      </c>
      <c r="K16">
        <v>294</v>
      </c>
      <c r="L16" t="s">
        <v>157</v>
      </c>
      <c r="M16" t="s">
        <v>69</v>
      </c>
      <c r="N16" t="s">
        <v>75</v>
      </c>
      <c r="O16" t="s">
        <v>69</v>
      </c>
      <c r="P16">
        <v>155.15600000000001</v>
      </c>
      <c r="Q16" t="s">
        <v>69</v>
      </c>
      <c r="R16" t="s">
        <v>69</v>
      </c>
      <c r="S16">
        <v>297</v>
      </c>
      <c r="T16" t="s">
        <v>119</v>
      </c>
      <c r="U16" t="s">
        <v>69</v>
      </c>
      <c r="V16" t="s">
        <v>120</v>
      </c>
      <c r="W16" t="s">
        <v>69</v>
      </c>
      <c r="X16">
        <v>147.131</v>
      </c>
      <c r="Y16" t="s">
        <v>69</v>
      </c>
      <c r="Z16" t="s">
        <v>69</v>
      </c>
      <c r="AA16">
        <v>336</v>
      </c>
      <c r="AB16" t="s">
        <v>156</v>
      </c>
      <c r="AC16" t="s">
        <v>69</v>
      </c>
      <c r="AD16" t="s">
        <v>120</v>
      </c>
      <c r="AE16" t="s">
        <v>69</v>
      </c>
      <c r="AF16">
        <v>133.10400000000001</v>
      </c>
      <c r="AG16" t="s">
        <v>69</v>
      </c>
      <c r="AH16" t="s">
        <v>69</v>
      </c>
      <c r="AI16">
        <v>338</v>
      </c>
      <c r="AJ16" t="s">
        <v>76</v>
      </c>
      <c r="AK16" t="s">
        <v>69</v>
      </c>
      <c r="AL16" t="s">
        <v>75</v>
      </c>
      <c r="AM16" t="s">
        <v>69</v>
      </c>
      <c r="AN16">
        <v>146.18899999999999</v>
      </c>
      <c r="AO16" t="s">
        <v>69</v>
      </c>
      <c r="AP16" t="s">
        <v>69</v>
      </c>
      <c r="AQ16">
        <v>339</v>
      </c>
      <c r="AR16" t="s">
        <v>149</v>
      </c>
      <c r="AS16" t="s">
        <v>69</v>
      </c>
      <c r="AT16" t="s">
        <v>150</v>
      </c>
      <c r="AU16" t="s">
        <v>69</v>
      </c>
      <c r="AV16">
        <v>119.119</v>
      </c>
      <c r="AW16" t="s">
        <v>69</v>
      </c>
      <c r="AX16" t="s">
        <v>69</v>
      </c>
      <c r="AY16">
        <v>340</v>
      </c>
      <c r="AZ16" t="s">
        <v>76</v>
      </c>
      <c r="BA16" t="s">
        <v>69</v>
      </c>
      <c r="BB16" t="s">
        <v>75</v>
      </c>
      <c r="BC16" t="s">
        <v>69</v>
      </c>
      <c r="BD16">
        <v>146.18899999999999</v>
      </c>
      <c r="BE16" t="s">
        <v>69</v>
      </c>
      <c r="BF16" t="s">
        <v>69</v>
      </c>
      <c r="BG16">
        <v>387</v>
      </c>
      <c r="BH16" t="s">
        <v>119</v>
      </c>
      <c r="BI16" t="s">
        <v>69</v>
      </c>
      <c r="BJ16" t="s">
        <v>120</v>
      </c>
      <c r="BK16" t="s">
        <v>69</v>
      </c>
      <c r="BL16">
        <v>147.131</v>
      </c>
      <c r="BM16" t="s">
        <v>69</v>
      </c>
      <c r="BN16" t="s">
        <v>69</v>
      </c>
      <c r="BO16">
        <v>389</v>
      </c>
      <c r="BP16" t="s">
        <v>70</v>
      </c>
      <c r="BQ16" t="s">
        <v>69</v>
      </c>
      <c r="BR16" t="s">
        <v>71</v>
      </c>
      <c r="BS16" t="s">
        <v>69</v>
      </c>
      <c r="BT16">
        <v>75.066999999999993</v>
      </c>
      <c r="BU16" t="s">
        <v>69</v>
      </c>
      <c r="BV16" t="s">
        <v>69</v>
      </c>
      <c r="BW16">
        <v>390</v>
      </c>
      <c r="BX16" t="s">
        <v>76</v>
      </c>
      <c r="BY16" t="s">
        <v>69</v>
      </c>
      <c r="BZ16" t="s">
        <v>75</v>
      </c>
      <c r="CA16" t="s">
        <v>69</v>
      </c>
      <c r="CB16">
        <v>146.18899999999999</v>
      </c>
      <c r="CC16" t="s">
        <v>69</v>
      </c>
      <c r="CD16" t="s">
        <v>69</v>
      </c>
      <c r="CE16">
        <v>434</v>
      </c>
      <c r="CF16" t="s">
        <v>155</v>
      </c>
      <c r="CG16" t="s">
        <v>69</v>
      </c>
      <c r="CH16" t="s">
        <v>150</v>
      </c>
      <c r="CI16" t="s">
        <v>69</v>
      </c>
      <c r="CJ16">
        <v>105.093</v>
      </c>
      <c r="CK16" t="s">
        <v>69</v>
      </c>
      <c r="CL16" t="s">
        <v>69</v>
      </c>
      <c r="CM16">
        <v>436</v>
      </c>
      <c r="CN16" t="s">
        <v>147</v>
      </c>
      <c r="CO16" t="s">
        <v>69</v>
      </c>
      <c r="CP16" t="s">
        <v>148</v>
      </c>
      <c r="CQ16" t="s">
        <v>69</v>
      </c>
      <c r="CR16">
        <v>146.14599999999999</v>
      </c>
      <c r="CS16" t="s">
        <v>69</v>
      </c>
      <c r="CT16" t="s">
        <v>69</v>
      </c>
      <c r="CU16">
        <v>437</v>
      </c>
      <c r="CV16" t="s">
        <v>70</v>
      </c>
      <c r="CW16" t="s">
        <v>69</v>
      </c>
      <c r="CX16" t="s">
        <v>71</v>
      </c>
      <c r="CY16" t="s">
        <v>69</v>
      </c>
      <c r="CZ16">
        <v>75.066999999999993</v>
      </c>
      <c r="DA16" t="s">
        <v>69</v>
      </c>
      <c r="DB16" t="s">
        <v>69</v>
      </c>
      <c r="DC16">
        <v>439</v>
      </c>
      <c r="DD16" t="s">
        <v>155</v>
      </c>
      <c r="DE16" t="s">
        <v>69</v>
      </c>
      <c r="DF16" t="s">
        <v>150</v>
      </c>
      <c r="DG16" t="s">
        <v>69</v>
      </c>
      <c r="DH16">
        <v>105.093</v>
      </c>
      <c r="DI16" t="s">
        <v>69</v>
      </c>
      <c r="DJ16" t="s">
        <v>69</v>
      </c>
      <c r="DK16">
        <v>458</v>
      </c>
      <c r="DL16" t="s">
        <v>155</v>
      </c>
      <c r="DM16" t="s">
        <v>69</v>
      </c>
      <c r="DN16" t="s">
        <v>150</v>
      </c>
      <c r="DO16" t="s">
        <v>69</v>
      </c>
      <c r="DP16">
        <v>105.093</v>
      </c>
      <c r="DQ16" t="s">
        <v>69</v>
      </c>
      <c r="DR16" t="s">
        <v>69</v>
      </c>
      <c r="DS16">
        <v>460</v>
      </c>
      <c r="DT16" t="s">
        <v>70</v>
      </c>
      <c r="DU16" t="s">
        <v>69</v>
      </c>
      <c r="DV16" t="s">
        <v>71</v>
      </c>
      <c r="DW16" t="s">
        <v>69</v>
      </c>
      <c r="DX16">
        <v>75.066999999999993</v>
      </c>
      <c r="DY16" t="s">
        <v>69</v>
      </c>
      <c r="DZ16" t="s">
        <v>69</v>
      </c>
      <c r="EA16">
        <v>462</v>
      </c>
      <c r="EB16" t="s">
        <v>70</v>
      </c>
      <c r="EC16" t="s">
        <v>69</v>
      </c>
      <c r="ED16" t="s">
        <v>71</v>
      </c>
      <c r="EE16" t="s">
        <v>69</v>
      </c>
      <c r="EF16">
        <v>75.066999999999993</v>
      </c>
      <c r="EG16" t="s">
        <v>69</v>
      </c>
      <c r="EH16" t="s">
        <v>69</v>
      </c>
    </row>
    <row r="17" spans="1:138" x14ac:dyDescent="0.25">
      <c r="A17">
        <v>7</v>
      </c>
      <c r="B17" t="str">
        <f>HYPERLINK("http://www.ncbi.nlm.nih.gov/protein/XP_038299489.1","XP_038299489.1")</f>
        <v>XP_038299489.1</v>
      </c>
      <c r="C17">
        <v>136357</v>
      </c>
      <c r="D17" t="str">
        <f>HYPERLINK("http://www.ncbi.nlm.nih.gov/Taxonomy/Browser/wwwtax.cgi?mode=Info&amp;id=9615&amp;lvl=3&amp;lin=f&amp;keep=1&amp;srchmode=1&amp;unlock","9615")</f>
        <v>9615</v>
      </c>
      <c r="E17" t="s">
        <v>66</v>
      </c>
      <c r="F17" t="str">
        <f>HYPERLINK("http://www.ncbi.nlm.nih.gov/Taxonomy/Browser/wwwtax.cgi?mode=Info&amp;id=9615&amp;lvl=3&amp;lin=f&amp;keep=1&amp;srchmode=1&amp;unlock","Canis lupus familiaris")</f>
        <v>Canis lupus familiaris</v>
      </c>
      <c r="G17" t="s">
        <v>84</v>
      </c>
      <c r="H17" t="str">
        <f>HYPERLINK("http://www.ncbi.nlm.nih.gov/protein/XP_038299489.1","transmembrane protease serine 2 isoform X1")</f>
        <v>transmembrane protease serine 2 isoform X1</v>
      </c>
      <c r="I17" t="s">
        <v>269</v>
      </c>
      <c r="J17" t="s">
        <v>69</v>
      </c>
      <c r="K17">
        <v>296</v>
      </c>
      <c r="L17" t="s">
        <v>157</v>
      </c>
      <c r="M17" t="s">
        <v>69</v>
      </c>
      <c r="N17" t="s">
        <v>75</v>
      </c>
      <c r="O17" t="s">
        <v>69</v>
      </c>
      <c r="P17">
        <v>155.15600000000001</v>
      </c>
      <c r="Q17" t="s">
        <v>69</v>
      </c>
      <c r="R17" t="s">
        <v>69</v>
      </c>
      <c r="S17">
        <v>299</v>
      </c>
      <c r="T17" t="s">
        <v>119</v>
      </c>
      <c r="U17" t="s">
        <v>69</v>
      </c>
      <c r="V17" t="s">
        <v>120</v>
      </c>
      <c r="W17" t="s">
        <v>69</v>
      </c>
      <c r="X17">
        <v>147.131</v>
      </c>
      <c r="Y17" t="s">
        <v>69</v>
      </c>
      <c r="Z17" t="s">
        <v>69</v>
      </c>
      <c r="AA17">
        <v>338</v>
      </c>
      <c r="AB17" t="s">
        <v>156</v>
      </c>
      <c r="AC17" t="s">
        <v>69</v>
      </c>
      <c r="AD17" t="s">
        <v>120</v>
      </c>
      <c r="AE17" t="s">
        <v>69</v>
      </c>
      <c r="AF17">
        <v>133.10400000000001</v>
      </c>
      <c r="AG17" t="s">
        <v>69</v>
      </c>
      <c r="AH17" t="s">
        <v>69</v>
      </c>
      <c r="AI17">
        <v>340</v>
      </c>
      <c r="AJ17" t="s">
        <v>76</v>
      </c>
      <c r="AK17" t="s">
        <v>69</v>
      </c>
      <c r="AL17" t="s">
        <v>75</v>
      </c>
      <c r="AM17" t="s">
        <v>69</v>
      </c>
      <c r="AN17">
        <v>146.18899999999999</v>
      </c>
      <c r="AO17" t="s">
        <v>69</v>
      </c>
      <c r="AP17" t="s">
        <v>69</v>
      </c>
      <c r="AQ17">
        <v>341</v>
      </c>
      <c r="AR17" t="s">
        <v>149</v>
      </c>
      <c r="AS17" t="s">
        <v>69</v>
      </c>
      <c r="AT17" t="s">
        <v>150</v>
      </c>
      <c r="AU17" t="s">
        <v>69</v>
      </c>
      <c r="AV17">
        <v>119.119</v>
      </c>
      <c r="AW17" t="s">
        <v>69</v>
      </c>
      <c r="AX17" t="s">
        <v>69</v>
      </c>
      <c r="AY17">
        <v>342</v>
      </c>
      <c r="AZ17" t="s">
        <v>76</v>
      </c>
      <c r="BA17" t="s">
        <v>69</v>
      </c>
      <c r="BB17" t="s">
        <v>75</v>
      </c>
      <c r="BC17" t="s">
        <v>69</v>
      </c>
      <c r="BD17">
        <v>146.18899999999999</v>
      </c>
      <c r="BE17" t="s">
        <v>69</v>
      </c>
      <c r="BF17" t="s">
        <v>69</v>
      </c>
      <c r="BG17">
        <v>389</v>
      </c>
      <c r="BH17" t="s">
        <v>119</v>
      </c>
      <c r="BI17" t="s">
        <v>69</v>
      </c>
      <c r="BJ17" t="s">
        <v>120</v>
      </c>
      <c r="BK17" t="s">
        <v>69</v>
      </c>
      <c r="BL17">
        <v>147.131</v>
      </c>
      <c r="BM17" t="s">
        <v>69</v>
      </c>
      <c r="BN17" t="s">
        <v>69</v>
      </c>
      <c r="BO17">
        <v>391</v>
      </c>
      <c r="BP17" t="s">
        <v>70</v>
      </c>
      <c r="BQ17" t="s">
        <v>69</v>
      </c>
      <c r="BR17" t="s">
        <v>71</v>
      </c>
      <c r="BS17" t="s">
        <v>69</v>
      </c>
      <c r="BT17">
        <v>75.066999999999993</v>
      </c>
      <c r="BU17" t="s">
        <v>69</v>
      </c>
      <c r="BV17" t="s">
        <v>69</v>
      </c>
      <c r="BW17">
        <v>392</v>
      </c>
      <c r="BX17" t="s">
        <v>76</v>
      </c>
      <c r="BY17" t="s">
        <v>69</v>
      </c>
      <c r="BZ17" t="s">
        <v>75</v>
      </c>
      <c r="CA17" t="s">
        <v>69</v>
      </c>
      <c r="CB17">
        <v>146.18899999999999</v>
      </c>
      <c r="CC17" t="s">
        <v>69</v>
      </c>
      <c r="CD17" t="s">
        <v>69</v>
      </c>
      <c r="CE17">
        <v>436</v>
      </c>
      <c r="CF17" t="s">
        <v>155</v>
      </c>
      <c r="CG17" t="s">
        <v>69</v>
      </c>
      <c r="CH17" t="s">
        <v>150</v>
      </c>
      <c r="CI17" t="s">
        <v>69</v>
      </c>
      <c r="CJ17">
        <v>105.093</v>
      </c>
      <c r="CK17" t="s">
        <v>69</v>
      </c>
      <c r="CL17" t="s">
        <v>69</v>
      </c>
      <c r="CM17">
        <v>438</v>
      </c>
      <c r="CN17" t="s">
        <v>147</v>
      </c>
      <c r="CO17" t="s">
        <v>69</v>
      </c>
      <c r="CP17" t="s">
        <v>148</v>
      </c>
      <c r="CQ17" t="s">
        <v>69</v>
      </c>
      <c r="CR17">
        <v>146.14599999999999</v>
      </c>
      <c r="CS17" t="s">
        <v>69</v>
      </c>
      <c r="CT17" t="s">
        <v>69</v>
      </c>
      <c r="CU17">
        <v>439</v>
      </c>
      <c r="CV17" t="s">
        <v>70</v>
      </c>
      <c r="CW17" t="s">
        <v>69</v>
      </c>
      <c r="CX17" t="s">
        <v>71</v>
      </c>
      <c r="CY17" t="s">
        <v>69</v>
      </c>
      <c r="CZ17">
        <v>75.066999999999993</v>
      </c>
      <c r="DA17" t="s">
        <v>69</v>
      </c>
      <c r="DB17" t="s">
        <v>69</v>
      </c>
      <c r="DC17">
        <v>441</v>
      </c>
      <c r="DD17" t="s">
        <v>155</v>
      </c>
      <c r="DE17" t="s">
        <v>69</v>
      </c>
      <c r="DF17" t="s">
        <v>150</v>
      </c>
      <c r="DG17" t="s">
        <v>69</v>
      </c>
      <c r="DH17">
        <v>105.093</v>
      </c>
      <c r="DI17" t="s">
        <v>69</v>
      </c>
      <c r="DJ17" t="s">
        <v>69</v>
      </c>
      <c r="DK17">
        <v>460</v>
      </c>
      <c r="DL17" t="s">
        <v>155</v>
      </c>
      <c r="DM17" t="s">
        <v>69</v>
      </c>
      <c r="DN17" t="s">
        <v>150</v>
      </c>
      <c r="DO17" t="s">
        <v>69</v>
      </c>
      <c r="DP17">
        <v>105.093</v>
      </c>
      <c r="DQ17" t="s">
        <v>69</v>
      </c>
      <c r="DR17" t="s">
        <v>69</v>
      </c>
      <c r="DS17">
        <v>462</v>
      </c>
      <c r="DT17" t="s">
        <v>70</v>
      </c>
      <c r="DU17" t="s">
        <v>69</v>
      </c>
      <c r="DV17" t="s">
        <v>71</v>
      </c>
      <c r="DW17" t="s">
        <v>69</v>
      </c>
      <c r="DX17">
        <v>75.066999999999993</v>
      </c>
      <c r="DY17" t="s">
        <v>69</v>
      </c>
      <c r="DZ17" t="s">
        <v>69</v>
      </c>
      <c r="EA17">
        <v>464</v>
      </c>
      <c r="EB17" t="s">
        <v>70</v>
      </c>
      <c r="EC17" t="s">
        <v>69</v>
      </c>
      <c r="ED17" t="s">
        <v>71</v>
      </c>
      <c r="EE17" t="s">
        <v>69</v>
      </c>
      <c r="EF17">
        <v>75.066999999999993</v>
      </c>
      <c r="EG17" t="s">
        <v>69</v>
      </c>
      <c r="EH17" t="s">
        <v>69</v>
      </c>
    </row>
    <row r="18" spans="1:138" x14ac:dyDescent="0.25">
      <c r="A18">
        <v>7</v>
      </c>
      <c r="B18" t="str">
        <f>HYPERLINK("http://www.ncbi.nlm.nih.gov/protein/BAB70683.1","BAB70683.1")</f>
        <v>BAB70683.1</v>
      </c>
      <c r="C18">
        <v>158159</v>
      </c>
      <c r="D18" t="str">
        <f>HYPERLINK("http://www.ncbi.nlm.nih.gov/Taxonomy/Browser/wwwtax.cgi?mode=Info&amp;id=10116&amp;lvl=3&amp;lin=f&amp;keep=1&amp;srchmode=1&amp;unlock","10116")</f>
        <v>10116</v>
      </c>
      <c r="E18" t="s">
        <v>66</v>
      </c>
      <c r="F18" t="str">
        <f>HYPERLINK("http://www.ncbi.nlm.nih.gov/Taxonomy/Browser/wwwtax.cgi?mode=Info&amp;id=10116&amp;lvl=3&amp;lin=f&amp;keep=1&amp;srchmode=1&amp;unlock","Rattus norvegicus")</f>
        <v>Rattus norvegicus</v>
      </c>
      <c r="G18" t="s">
        <v>102</v>
      </c>
      <c r="H18" t="str">
        <f>HYPERLINK("http://www.ncbi.nlm.nih.gov/protein/BAB70683.1","TMPRSS2")</f>
        <v>TMPRSS2</v>
      </c>
      <c r="I18" t="s">
        <v>269</v>
      </c>
      <c r="J18" t="s">
        <v>69</v>
      </c>
      <c r="K18">
        <v>294</v>
      </c>
      <c r="L18" t="s">
        <v>157</v>
      </c>
      <c r="M18" t="s">
        <v>69</v>
      </c>
      <c r="N18" t="s">
        <v>75</v>
      </c>
      <c r="O18" t="s">
        <v>69</v>
      </c>
      <c r="P18">
        <v>155.15600000000001</v>
      </c>
      <c r="Q18" t="s">
        <v>69</v>
      </c>
      <c r="R18" t="s">
        <v>69</v>
      </c>
      <c r="S18">
        <v>297</v>
      </c>
      <c r="T18" t="s">
        <v>119</v>
      </c>
      <c r="U18" t="s">
        <v>69</v>
      </c>
      <c r="V18" t="s">
        <v>120</v>
      </c>
      <c r="W18" t="s">
        <v>69</v>
      </c>
      <c r="X18">
        <v>147.131</v>
      </c>
      <c r="Y18" t="s">
        <v>69</v>
      </c>
      <c r="Z18" t="s">
        <v>69</v>
      </c>
      <c r="AA18">
        <v>336</v>
      </c>
      <c r="AB18" t="s">
        <v>156</v>
      </c>
      <c r="AC18" t="s">
        <v>69</v>
      </c>
      <c r="AD18" t="s">
        <v>120</v>
      </c>
      <c r="AE18" t="s">
        <v>69</v>
      </c>
      <c r="AF18">
        <v>133.10400000000001</v>
      </c>
      <c r="AG18" t="s">
        <v>69</v>
      </c>
      <c r="AH18" t="s">
        <v>69</v>
      </c>
      <c r="AI18">
        <v>338</v>
      </c>
      <c r="AJ18" t="s">
        <v>76</v>
      </c>
      <c r="AK18" t="s">
        <v>69</v>
      </c>
      <c r="AL18" t="s">
        <v>75</v>
      </c>
      <c r="AM18" t="s">
        <v>69</v>
      </c>
      <c r="AN18">
        <v>146.18899999999999</v>
      </c>
      <c r="AO18" t="s">
        <v>69</v>
      </c>
      <c r="AP18" t="s">
        <v>69</v>
      </c>
      <c r="AQ18">
        <v>339</v>
      </c>
      <c r="AR18" t="s">
        <v>149</v>
      </c>
      <c r="AS18" t="s">
        <v>69</v>
      </c>
      <c r="AT18" t="s">
        <v>150</v>
      </c>
      <c r="AU18" t="s">
        <v>69</v>
      </c>
      <c r="AV18">
        <v>119.119</v>
      </c>
      <c r="AW18" t="s">
        <v>69</v>
      </c>
      <c r="AX18" t="s">
        <v>69</v>
      </c>
      <c r="AY18">
        <v>340</v>
      </c>
      <c r="AZ18" t="s">
        <v>76</v>
      </c>
      <c r="BA18" t="s">
        <v>69</v>
      </c>
      <c r="BB18" t="s">
        <v>75</v>
      </c>
      <c r="BC18" t="s">
        <v>69</v>
      </c>
      <c r="BD18">
        <v>146.18899999999999</v>
      </c>
      <c r="BE18" t="s">
        <v>69</v>
      </c>
      <c r="BF18" t="s">
        <v>69</v>
      </c>
      <c r="BG18">
        <v>387</v>
      </c>
      <c r="BH18" t="s">
        <v>119</v>
      </c>
      <c r="BI18" t="s">
        <v>69</v>
      </c>
      <c r="BJ18" t="s">
        <v>120</v>
      </c>
      <c r="BK18" t="s">
        <v>69</v>
      </c>
      <c r="BL18">
        <v>147.131</v>
      </c>
      <c r="BM18" t="s">
        <v>69</v>
      </c>
      <c r="BN18" t="s">
        <v>69</v>
      </c>
      <c r="BO18">
        <v>389</v>
      </c>
      <c r="BP18" t="s">
        <v>70</v>
      </c>
      <c r="BQ18" t="s">
        <v>69</v>
      </c>
      <c r="BR18" t="s">
        <v>71</v>
      </c>
      <c r="BS18" t="s">
        <v>69</v>
      </c>
      <c r="BT18">
        <v>75.066999999999993</v>
      </c>
      <c r="BU18" t="s">
        <v>69</v>
      </c>
      <c r="BV18" t="s">
        <v>69</v>
      </c>
      <c r="BW18">
        <v>390</v>
      </c>
      <c r="BX18" t="s">
        <v>76</v>
      </c>
      <c r="BY18" t="s">
        <v>69</v>
      </c>
      <c r="BZ18" t="s">
        <v>75</v>
      </c>
      <c r="CA18" t="s">
        <v>69</v>
      </c>
      <c r="CB18">
        <v>146.18899999999999</v>
      </c>
      <c r="CC18" t="s">
        <v>69</v>
      </c>
      <c r="CD18" t="s">
        <v>69</v>
      </c>
      <c r="CE18">
        <v>434</v>
      </c>
      <c r="CF18" t="s">
        <v>155</v>
      </c>
      <c r="CG18" t="s">
        <v>69</v>
      </c>
      <c r="CH18" t="s">
        <v>150</v>
      </c>
      <c r="CI18" t="s">
        <v>69</v>
      </c>
      <c r="CJ18">
        <v>105.093</v>
      </c>
      <c r="CK18" t="s">
        <v>69</v>
      </c>
      <c r="CL18" t="s">
        <v>69</v>
      </c>
      <c r="CM18">
        <v>436</v>
      </c>
      <c r="CN18" t="s">
        <v>147</v>
      </c>
      <c r="CO18" t="s">
        <v>69</v>
      </c>
      <c r="CP18" t="s">
        <v>148</v>
      </c>
      <c r="CQ18" t="s">
        <v>69</v>
      </c>
      <c r="CR18">
        <v>146.14599999999999</v>
      </c>
      <c r="CS18" t="s">
        <v>69</v>
      </c>
      <c r="CT18" t="s">
        <v>69</v>
      </c>
      <c r="CU18">
        <v>437</v>
      </c>
      <c r="CV18" t="s">
        <v>70</v>
      </c>
      <c r="CW18" t="s">
        <v>69</v>
      </c>
      <c r="CX18" t="s">
        <v>71</v>
      </c>
      <c r="CY18" t="s">
        <v>69</v>
      </c>
      <c r="CZ18">
        <v>75.066999999999993</v>
      </c>
      <c r="DA18" t="s">
        <v>69</v>
      </c>
      <c r="DB18" t="s">
        <v>69</v>
      </c>
      <c r="DC18">
        <v>439</v>
      </c>
      <c r="DD18" t="s">
        <v>155</v>
      </c>
      <c r="DE18" t="s">
        <v>69</v>
      </c>
      <c r="DF18" t="s">
        <v>150</v>
      </c>
      <c r="DG18" t="s">
        <v>69</v>
      </c>
      <c r="DH18">
        <v>105.093</v>
      </c>
      <c r="DI18" t="s">
        <v>69</v>
      </c>
      <c r="DJ18" t="s">
        <v>69</v>
      </c>
      <c r="DK18">
        <v>458</v>
      </c>
      <c r="DL18" t="s">
        <v>155</v>
      </c>
      <c r="DM18" t="s">
        <v>69</v>
      </c>
      <c r="DN18" t="s">
        <v>150</v>
      </c>
      <c r="DO18" t="s">
        <v>69</v>
      </c>
      <c r="DP18">
        <v>105.093</v>
      </c>
      <c r="DQ18" t="s">
        <v>69</v>
      </c>
      <c r="DR18" t="s">
        <v>69</v>
      </c>
      <c r="DS18">
        <v>460</v>
      </c>
      <c r="DT18" t="s">
        <v>70</v>
      </c>
      <c r="DU18" t="s">
        <v>69</v>
      </c>
      <c r="DV18" t="s">
        <v>71</v>
      </c>
      <c r="DW18" t="s">
        <v>69</v>
      </c>
      <c r="DX18">
        <v>75.066999999999993</v>
      </c>
      <c r="DY18" t="s">
        <v>69</v>
      </c>
      <c r="DZ18" t="s">
        <v>69</v>
      </c>
      <c r="EA18">
        <v>462</v>
      </c>
      <c r="EB18" t="s">
        <v>70</v>
      </c>
      <c r="EC18" t="s">
        <v>69</v>
      </c>
      <c r="ED18" t="s">
        <v>71</v>
      </c>
      <c r="EE18" t="s">
        <v>69</v>
      </c>
      <c r="EF18">
        <v>75.066999999999993</v>
      </c>
      <c r="EG18" t="s">
        <v>69</v>
      </c>
      <c r="EH18" t="s">
        <v>69</v>
      </c>
    </row>
    <row r="19" spans="1:138" x14ac:dyDescent="0.25">
      <c r="A19">
        <v>7</v>
      </c>
      <c r="B19" t="str">
        <f>HYPERLINK("http://www.ncbi.nlm.nih.gov/protein/XP_023094477.2","XP_023094477.2")</f>
        <v>XP_023094477.2</v>
      </c>
      <c r="C19">
        <v>74287</v>
      </c>
      <c r="D19" t="str">
        <f>HYPERLINK("http://www.ncbi.nlm.nih.gov/Taxonomy/Browser/wwwtax.cgi?mode=Info&amp;id=9685&amp;lvl=3&amp;lin=f&amp;keep=1&amp;srchmode=1&amp;unlock","9685")</f>
        <v>9685</v>
      </c>
      <c r="E19" t="s">
        <v>66</v>
      </c>
      <c r="F19" t="str">
        <f>HYPERLINK("http://www.ncbi.nlm.nih.gov/Taxonomy/Browser/wwwtax.cgi?mode=Info&amp;id=9685&amp;lvl=3&amp;lin=f&amp;keep=1&amp;srchmode=1&amp;unlock","Felis catus")</f>
        <v>Felis catus</v>
      </c>
      <c r="G19" t="s">
        <v>86</v>
      </c>
      <c r="H19" t="str">
        <f>HYPERLINK("http://www.ncbi.nlm.nih.gov/protein/XP_023094477.2","transmembrane protease serine 2")</f>
        <v>transmembrane protease serine 2</v>
      </c>
      <c r="I19" t="s">
        <v>269</v>
      </c>
      <c r="J19" t="s">
        <v>69</v>
      </c>
      <c r="K19">
        <v>296</v>
      </c>
      <c r="L19" t="s">
        <v>157</v>
      </c>
      <c r="M19" t="s">
        <v>69</v>
      </c>
      <c r="N19" t="s">
        <v>75</v>
      </c>
      <c r="O19" t="s">
        <v>69</v>
      </c>
      <c r="P19">
        <v>155.15600000000001</v>
      </c>
      <c r="Q19" t="s">
        <v>69</v>
      </c>
      <c r="R19" t="s">
        <v>69</v>
      </c>
      <c r="S19">
        <v>299</v>
      </c>
      <c r="T19" t="s">
        <v>119</v>
      </c>
      <c r="U19" t="s">
        <v>69</v>
      </c>
      <c r="V19" t="s">
        <v>120</v>
      </c>
      <c r="W19" t="s">
        <v>69</v>
      </c>
      <c r="X19">
        <v>147.131</v>
      </c>
      <c r="Y19" t="s">
        <v>69</v>
      </c>
      <c r="Z19" t="s">
        <v>69</v>
      </c>
      <c r="AA19">
        <v>338</v>
      </c>
      <c r="AB19" t="s">
        <v>156</v>
      </c>
      <c r="AC19" t="s">
        <v>69</v>
      </c>
      <c r="AD19" t="s">
        <v>120</v>
      </c>
      <c r="AE19" t="s">
        <v>69</v>
      </c>
      <c r="AF19">
        <v>133.10400000000001</v>
      </c>
      <c r="AG19" t="s">
        <v>69</v>
      </c>
      <c r="AH19" t="s">
        <v>69</v>
      </c>
      <c r="AI19">
        <v>340</v>
      </c>
      <c r="AJ19" t="s">
        <v>76</v>
      </c>
      <c r="AK19" t="s">
        <v>69</v>
      </c>
      <c r="AL19" t="s">
        <v>75</v>
      </c>
      <c r="AM19" t="s">
        <v>69</v>
      </c>
      <c r="AN19">
        <v>146.18899999999999</v>
      </c>
      <c r="AO19" t="s">
        <v>69</v>
      </c>
      <c r="AP19" t="s">
        <v>69</v>
      </c>
      <c r="AQ19">
        <v>341</v>
      </c>
      <c r="AR19" t="s">
        <v>149</v>
      </c>
      <c r="AS19" t="s">
        <v>69</v>
      </c>
      <c r="AT19" t="s">
        <v>150</v>
      </c>
      <c r="AU19" t="s">
        <v>69</v>
      </c>
      <c r="AV19">
        <v>119.119</v>
      </c>
      <c r="AW19" t="s">
        <v>69</v>
      </c>
      <c r="AX19" t="s">
        <v>69</v>
      </c>
      <c r="AY19">
        <v>342</v>
      </c>
      <c r="AZ19" t="s">
        <v>76</v>
      </c>
      <c r="BA19" t="s">
        <v>69</v>
      </c>
      <c r="BB19" t="s">
        <v>75</v>
      </c>
      <c r="BC19" t="s">
        <v>69</v>
      </c>
      <c r="BD19">
        <v>146.18899999999999</v>
      </c>
      <c r="BE19" t="s">
        <v>69</v>
      </c>
      <c r="BF19" t="s">
        <v>69</v>
      </c>
      <c r="BG19">
        <v>389</v>
      </c>
      <c r="BH19" t="s">
        <v>119</v>
      </c>
      <c r="BI19" t="s">
        <v>69</v>
      </c>
      <c r="BJ19" t="s">
        <v>120</v>
      </c>
      <c r="BK19" t="s">
        <v>69</v>
      </c>
      <c r="BL19">
        <v>147.131</v>
      </c>
      <c r="BM19" t="s">
        <v>69</v>
      </c>
      <c r="BN19" t="s">
        <v>69</v>
      </c>
      <c r="BO19">
        <v>391</v>
      </c>
      <c r="BP19" t="s">
        <v>70</v>
      </c>
      <c r="BQ19" t="s">
        <v>69</v>
      </c>
      <c r="BR19" t="s">
        <v>71</v>
      </c>
      <c r="BS19" t="s">
        <v>69</v>
      </c>
      <c r="BT19">
        <v>75.066999999999993</v>
      </c>
      <c r="BU19" t="s">
        <v>69</v>
      </c>
      <c r="BV19" t="s">
        <v>69</v>
      </c>
      <c r="BW19">
        <v>392</v>
      </c>
      <c r="BX19" t="s">
        <v>76</v>
      </c>
      <c r="BY19" t="s">
        <v>69</v>
      </c>
      <c r="BZ19" t="s">
        <v>75</v>
      </c>
      <c r="CA19" t="s">
        <v>69</v>
      </c>
      <c r="CB19">
        <v>146.18899999999999</v>
      </c>
      <c r="CC19" t="s">
        <v>69</v>
      </c>
      <c r="CD19" t="s">
        <v>69</v>
      </c>
      <c r="CE19">
        <v>436</v>
      </c>
      <c r="CF19" t="s">
        <v>155</v>
      </c>
      <c r="CG19" t="s">
        <v>69</v>
      </c>
      <c r="CH19" t="s">
        <v>150</v>
      </c>
      <c r="CI19" t="s">
        <v>69</v>
      </c>
      <c r="CJ19">
        <v>105.093</v>
      </c>
      <c r="CK19" t="s">
        <v>69</v>
      </c>
      <c r="CL19" t="s">
        <v>69</v>
      </c>
      <c r="CM19">
        <v>438</v>
      </c>
      <c r="CN19" t="s">
        <v>147</v>
      </c>
      <c r="CO19" t="s">
        <v>69</v>
      </c>
      <c r="CP19" t="s">
        <v>148</v>
      </c>
      <c r="CQ19" t="s">
        <v>69</v>
      </c>
      <c r="CR19">
        <v>146.14599999999999</v>
      </c>
      <c r="CS19" t="s">
        <v>69</v>
      </c>
      <c r="CT19" t="s">
        <v>69</v>
      </c>
      <c r="CU19">
        <v>439</v>
      </c>
      <c r="CV19" t="s">
        <v>70</v>
      </c>
      <c r="CW19" t="s">
        <v>69</v>
      </c>
      <c r="CX19" t="s">
        <v>71</v>
      </c>
      <c r="CY19" t="s">
        <v>69</v>
      </c>
      <c r="CZ19">
        <v>75.066999999999993</v>
      </c>
      <c r="DA19" t="s">
        <v>69</v>
      </c>
      <c r="DB19" t="s">
        <v>69</v>
      </c>
      <c r="DC19">
        <v>441</v>
      </c>
      <c r="DD19" t="s">
        <v>155</v>
      </c>
      <c r="DE19" t="s">
        <v>69</v>
      </c>
      <c r="DF19" t="s">
        <v>150</v>
      </c>
      <c r="DG19" t="s">
        <v>69</v>
      </c>
      <c r="DH19">
        <v>105.093</v>
      </c>
      <c r="DI19" t="s">
        <v>69</v>
      </c>
      <c r="DJ19" t="s">
        <v>69</v>
      </c>
      <c r="DK19">
        <v>460</v>
      </c>
      <c r="DL19" t="s">
        <v>155</v>
      </c>
      <c r="DM19" t="s">
        <v>69</v>
      </c>
      <c r="DN19" t="s">
        <v>150</v>
      </c>
      <c r="DO19" t="s">
        <v>69</v>
      </c>
      <c r="DP19">
        <v>105.093</v>
      </c>
      <c r="DQ19" t="s">
        <v>69</v>
      </c>
      <c r="DR19" t="s">
        <v>69</v>
      </c>
      <c r="DS19">
        <v>462</v>
      </c>
      <c r="DT19" t="s">
        <v>70</v>
      </c>
      <c r="DU19" t="s">
        <v>69</v>
      </c>
      <c r="DV19" t="s">
        <v>71</v>
      </c>
      <c r="DW19" t="s">
        <v>69</v>
      </c>
      <c r="DX19">
        <v>75.066999999999993</v>
      </c>
      <c r="DY19" t="s">
        <v>69</v>
      </c>
      <c r="DZ19" t="s">
        <v>69</v>
      </c>
      <c r="EA19">
        <v>464</v>
      </c>
      <c r="EB19" t="s">
        <v>70</v>
      </c>
      <c r="EC19" t="s">
        <v>69</v>
      </c>
      <c r="ED19" t="s">
        <v>71</v>
      </c>
      <c r="EE19" t="s">
        <v>69</v>
      </c>
      <c r="EF19">
        <v>75.066999999999993</v>
      </c>
      <c r="EG19" t="s">
        <v>69</v>
      </c>
      <c r="EH19" t="s">
        <v>69</v>
      </c>
    </row>
    <row r="20" spans="1:138" x14ac:dyDescent="0.25">
      <c r="A20">
        <v>7</v>
      </c>
      <c r="B20" t="str">
        <f>HYPERLINK("http://www.ncbi.nlm.nih.gov/protein/XP_042812429.1","XP_042812429.1")</f>
        <v>XP_042812429.1</v>
      </c>
      <c r="C20">
        <v>56089</v>
      </c>
      <c r="D20" t="str">
        <f>HYPERLINK("http://www.ncbi.nlm.nih.gov/Taxonomy/Browser/wwwtax.cgi?mode=Info&amp;id=9694&amp;lvl=3&amp;lin=f&amp;keep=1&amp;srchmode=1&amp;unlock","9694")</f>
        <v>9694</v>
      </c>
      <c r="E20" t="s">
        <v>66</v>
      </c>
      <c r="F20" t="str">
        <f>HYPERLINK("http://www.ncbi.nlm.nih.gov/Taxonomy/Browser/wwwtax.cgi?mode=Info&amp;id=9694&amp;lvl=3&amp;lin=f&amp;keep=1&amp;srchmode=1&amp;unlock","Panthera tigris")</f>
        <v>Panthera tigris</v>
      </c>
      <c r="G20" t="s">
        <v>89</v>
      </c>
      <c r="H20" t="str">
        <f>HYPERLINK("http://www.ncbi.nlm.nih.gov/protein/XP_042812429.1","transmembrane protease serine 2")</f>
        <v>transmembrane protease serine 2</v>
      </c>
      <c r="I20" t="s">
        <v>269</v>
      </c>
      <c r="J20" t="s">
        <v>69</v>
      </c>
      <c r="K20">
        <v>296</v>
      </c>
      <c r="L20" t="s">
        <v>157</v>
      </c>
      <c r="M20" t="s">
        <v>69</v>
      </c>
      <c r="N20" t="s">
        <v>75</v>
      </c>
      <c r="O20" t="s">
        <v>69</v>
      </c>
      <c r="P20">
        <v>155.15600000000001</v>
      </c>
      <c r="Q20" t="s">
        <v>69</v>
      </c>
      <c r="R20" t="s">
        <v>69</v>
      </c>
      <c r="S20">
        <v>299</v>
      </c>
      <c r="T20" t="s">
        <v>119</v>
      </c>
      <c r="U20" t="s">
        <v>69</v>
      </c>
      <c r="V20" t="s">
        <v>120</v>
      </c>
      <c r="W20" t="s">
        <v>69</v>
      </c>
      <c r="X20">
        <v>147.131</v>
      </c>
      <c r="Y20" t="s">
        <v>69</v>
      </c>
      <c r="Z20" t="s">
        <v>69</v>
      </c>
      <c r="AA20">
        <v>338</v>
      </c>
      <c r="AB20" t="s">
        <v>156</v>
      </c>
      <c r="AC20" t="s">
        <v>69</v>
      </c>
      <c r="AD20" t="s">
        <v>120</v>
      </c>
      <c r="AE20" t="s">
        <v>69</v>
      </c>
      <c r="AF20">
        <v>133.10400000000001</v>
      </c>
      <c r="AG20" t="s">
        <v>69</v>
      </c>
      <c r="AH20" t="s">
        <v>69</v>
      </c>
      <c r="AI20">
        <v>340</v>
      </c>
      <c r="AJ20" t="s">
        <v>76</v>
      </c>
      <c r="AK20" t="s">
        <v>69</v>
      </c>
      <c r="AL20" t="s">
        <v>75</v>
      </c>
      <c r="AM20" t="s">
        <v>69</v>
      </c>
      <c r="AN20">
        <v>146.18899999999999</v>
      </c>
      <c r="AO20" t="s">
        <v>69</v>
      </c>
      <c r="AP20" t="s">
        <v>69</v>
      </c>
      <c r="AQ20">
        <v>341</v>
      </c>
      <c r="AR20" t="s">
        <v>155</v>
      </c>
      <c r="AS20" t="s">
        <v>153</v>
      </c>
      <c r="AT20" t="s">
        <v>150</v>
      </c>
      <c r="AU20" t="s">
        <v>69</v>
      </c>
      <c r="AV20">
        <v>105.093</v>
      </c>
      <c r="AW20" t="s">
        <v>69</v>
      </c>
      <c r="AX20" t="s">
        <v>69</v>
      </c>
      <c r="AY20">
        <v>342</v>
      </c>
      <c r="AZ20" t="s">
        <v>76</v>
      </c>
      <c r="BA20" t="s">
        <v>69</v>
      </c>
      <c r="BB20" t="s">
        <v>75</v>
      </c>
      <c r="BC20" t="s">
        <v>69</v>
      </c>
      <c r="BD20">
        <v>146.18899999999999</v>
      </c>
      <c r="BE20" t="s">
        <v>69</v>
      </c>
      <c r="BF20" t="s">
        <v>69</v>
      </c>
      <c r="BG20">
        <v>389</v>
      </c>
      <c r="BH20" t="s">
        <v>119</v>
      </c>
      <c r="BI20" t="s">
        <v>69</v>
      </c>
      <c r="BJ20" t="s">
        <v>120</v>
      </c>
      <c r="BK20" t="s">
        <v>69</v>
      </c>
      <c r="BL20">
        <v>147.131</v>
      </c>
      <c r="BM20" t="s">
        <v>69</v>
      </c>
      <c r="BN20" t="s">
        <v>69</v>
      </c>
      <c r="BO20">
        <v>391</v>
      </c>
      <c r="BP20" t="s">
        <v>70</v>
      </c>
      <c r="BQ20" t="s">
        <v>69</v>
      </c>
      <c r="BR20" t="s">
        <v>71</v>
      </c>
      <c r="BS20" t="s">
        <v>69</v>
      </c>
      <c r="BT20">
        <v>75.066999999999993</v>
      </c>
      <c r="BU20" t="s">
        <v>69</v>
      </c>
      <c r="BV20" t="s">
        <v>69</v>
      </c>
      <c r="BW20">
        <v>392</v>
      </c>
      <c r="BX20" t="s">
        <v>76</v>
      </c>
      <c r="BY20" t="s">
        <v>69</v>
      </c>
      <c r="BZ20" t="s">
        <v>75</v>
      </c>
      <c r="CA20" t="s">
        <v>69</v>
      </c>
      <c r="CB20">
        <v>146.18899999999999</v>
      </c>
      <c r="CC20" t="s">
        <v>69</v>
      </c>
      <c r="CD20" t="s">
        <v>69</v>
      </c>
      <c r="CE20">
        <v>436</v>
      </c>
      <c r="CF20" t="s">
        <v>155</v>
      </c>
      <c r="CG20" t="s">
        <v>69</v>
      </c>
      <c r="CH20" t="s">
        <v>150</v>
      </c>
      <c r="CI20" t="s">
        <v>69</v>
      </c>
      <c r="CJ20">
        <v>105.093</v>
      </c>
      <c r="CK20" t="s">
        <v>69</v>
      </c>
      <c r="CL20" t="s">
        <v>69</v>
      </c>
      <c r="CM20">
        <v>438</v>
      </c>
      <c r="CN20" t="s">
        <v>147</v>
      </c>
      <c r="CO20" t="s">
        <v>69</v>
      </c>
      <c r="CP20" t="s">
        <v>148</v>
      </c>
      <c r="CQ20" t="s">
        <v>69</v>
      </c>
      <c r="CR20">
        <v>146.14599999999999</v>
      </c>
      <c r="CS20" t="s">
        <v>69</v>
      </c>
      <c r="CT20" t="s">
        <v>69</v>
      </c>
      <c r="CU20">
        <v>439</v>
      </c>
      <c r="CV20" t="s">
        <v>70</v>
      </c>
      <c r="CW20" t="s">
        <v>69</v>
      </c>
      <c r="CX20" t="s">
        <v>71</v>
      </c>
      <c r="CY20" t="s">
        <v>69</v>
      </c>
      <c r="CZ20">
        <v>75.066999999999993</v>
      </c>
      <c r="DA20" t="s">
        <v>69</v>
      </c>
      <c r="DB20" t="s">
        <v>69</v>
      </c>
      <c r="DC20">
        <v>441</v>
      </c>
      <c r="DD20" t="s">
        <v>155</v>
      </c>
      <c r="DE20" t="s">
        <v>69</v>
      </c>
      <c r="DF20" t="s">
        <v>150</v>
      </c>
      <c r="DG20" t="s">
        <v>69</v>
      </c>
      <c r="DH20">
        <v>105.093</v>
      </c>
      <c r="DI20" t="s">
        <v>69</v>
      </c>
      <c r="DJ20" t="s">
        <v>69</v>
      </c>
      <c r="DK20">
        <v>460</v>
      </c>
      <c r="DL20" t="s">
        <v>155</v>
      </c>
      <c r="DM20" t="s">
        <v>69</v>
      </c>
      <c r="DN20" t="s">
        <v>150</v>
      </c>
      <c r="DO20" t="s">
        <v>69</v>
      </c>
      <c r="DP20">
        <v>105.093</v>
      </c>
      <c r="DQ20" t="s">
        <v>69</v>
      </c>
      <c r="DR20" t="s">
        <v>69</v>
      </c>
      <c r="DS20">
        <v>462</v>
      </c>
      <c r="DT20" t="s">
        <v>70</v>
      </c>
      <c r="DU20" t="s">
        <v>69</v>
      </c>
      <c r="DV20" t="s">
        <v>71</v>
      </c>
      <c r="DW20" t="s">
        <v>69</v>
      </c>
      <c r="DX20">
        <v>75.066999999999993</v>
      </c>
      <c r="DY20" t="s">
        <v>69</v>
      </c>
      <c r="DZ20" t="s">
        <v>69</v>
      </c>
      <c r="EA20">
        <v>464</v>
      </c>
      <c r="EB20" t="s">
        <v>70</v>
      </c>
      <c r="EC20" t="s">
        <v>69</v>
      </c>
      <c r="ED20" t="s">
        <v>71</v>
      </c>
      <c r="EE20" t="s">
        <v>69</v>
      </c>
      <c r="EF20">
        <v>75.066999999999993</v>
      </c>
      <c r="EG20" t="s">
        <v>69</v>
      </c>
      <c r="EH20" t="s">
        <v>69</v>
      </c>
    </row>
    <row r="21" spans="1:138" x14ac:dyDescent="0.25">
      <c r="A21">
        <v>7</v>
      </c>
      <c r="B21" t="str">
        <f>HYPERLINK("http://www.ncbi.nlm.nih.gov/protein/CAD7693677.1","CAD7693677.1")</f>
        <v>CAD7693677.1</v>
      </c>
      <c r="C21">
        <v>27271</v>
      </c>
      <c r="D21" t="str">
        <f>HYPERLINK("http://www.ncbi.nlm.nih.gov/Taxonomy/Browser/wwwtax.cgi?mode=Info&amp;id=34880&amp;lvl=3&amp;lin=f&amp;keep=1&amp;srchmode=1&amp;unlock","34880")</f>
        <v>34880</v>
      </c>
      <c r="E21" t="s">
        <v>66</v>
      </c>
      <c r="F21" t="str">
        <f>HYPERLINK("http://www.ncbi.nlm.nih.gov/Taxonomy/Browser/wwwtax.cgi?mode=Info&amp;id=34880&amp;lvl=3&amp;lin=f&amp;keep=1&amp;srchmode=1&amp;unlock","Nyctereutes procyonoides")</f>
        <v>Nyctereutes procyonoides</v>
      </c>
      <c r="G21" t="s">
        <v>92</v>
      </c>
      <c r="H21" t="str">
        <f>HYPERLINK("http://www.ncbi.nlm.nih.gov/protein/CAD7693677.1","unnamed protein product")</f>
        <v>unnamed protein product</v>
      </c>
      <c r="I21" t="s">
        <v>269</v>
      </c>
      <c r="J21" t="s">
        <v>69</v>
      </c>
      <c r="K21">
        <v>296</v>
      </c>
      <c r="L21" t="s">
        <v>157</v>
      </c>
      <c r="M21" t="s">
        <v>69</v>
      </c>
      <c r="N21" t="s">
        <v>75</v>
      </c>
      <c r="O21" t="s">
        <v>69</v>
      </c>
      <c r="P21">
        <v>155.15600000000001</v>
      </c>
      <c r="Q21" t="s">
        <v>69</v>
      </c>
      <c r="R21" t="s">
        <v>69</v>
      </c>
      <c r="S21">
        <v>299</v>
      </c>
      <c r="T21" t="s">
        <v>119</v>
      </c>
      <c r="U21" t="s">
        <v>69</v>
      </c>
      <c r="V21" t="s">
        <v>120</v>
      </c>
      <c r="W21" t="s">
        <v>69</v>
      </c>
      <c r="X21">
        <v>147.131</v>
      </c>
      <c r="Y21" t="s">
        <v>69</v>
      </c>
      <c r="Z21" t="s">
        <v>69</v>
      </c>
      <c r="AA21">
        <v>338</v>
      </c>
      <c r="AB21" t="s">
        <v>156</v>
      </c>
      <c r="AC21" t="s">
        <v>69</v>
      </c>
      <c r="AD21" t="s">
        <v>120</v>
      </c>
      <c r="AE21" t="s">
        <v>69</v>
      </c>
      <c r="AF21">
        <v>133.10400000000001</v>
      </c>
      <c r="AG21" t="s">
        <v>69</v>
      </c>
      <c r="AH21" t="s">
        <v>69</v>
      </c>
      <c r="AI21">
        <v>340</v>
      </c>
      <c r="AJ21" t="s">
        <v>76</v>
      </c>
      <c r="AK21" t="s">
        <v>69</v>
      </c>
      <c r="AL21" t="s">
        <v>75</v>
      </c>
      <c r="AM21" t="s">
        <v>69</v>
      </c>
      <c r="AN21">
        <v>146.18899999999999</v>
      </c>
      <c r="AO21" t="s">
        <v>69</v>
      </c>
      <c r="AP21" t="s">
        <v>69</v>
      </c>
      <c r="AQ21">
        <v>341</v>
      </c>
      <c r="AR21" t="s">
        <v>149</v>
      </c>
      <c r="AS21" t="s">
        <v>69</v>
      </c>
      <c r="AT21" t="s">
        <v>150</v>
      </c>
      <c r="AU21" t="s">
        <v>69</v>
      </c>
      <c r="AV21">
        <v>119.119</v>
      </c>
      <c r="AW21" t="s">
        <v>69</v>
      </c>
      <c r="AX21" t="s">
        <v>69</v>
      </c>
      <c r="AY21">
        <v>342</v>
      </c>
      <c r="AZ21" t="s">
        <v>76</v>
      </c>
      <c r="BA21" t="s">
        <v>69</v>
      </c>
      <c r="BB21" t="s">
        <v>75</v>
      </c>
      <c r="BC21" t="s">
        <v>69</v>
      </c>
      <c r="BD21">
        <v>146.18899999999999</v>
      </c>
      <c r="BE21" t="s">
        <v>69</v>
      </c>
      <c r="BF21" t="s">
        <v>69</v>
      </c>
      <c r="BG21">
        <v>389</v>
      </c>
      <c r="BH21" t="s">
        <v>119</v>
      </c>
      <c r="BI21" t="s">
        <v>69</v>
      </c>
      <c r="BJ21" t="s">
        <v>120</v>
      </c>
      <c r="BK21" t="s">
        <v>69</v>
      </c>
      <c r="BL21">
        <v>147.131</v>
      </c>
      <c r="BM21" t="s">
        <v>69</v>
      </c>
      <c r="BN21" t="s">
        <v>69</v>
      </c>
      <c r="BO21">
        <v>391</v>
      </c>
      <c r="BP21" t="s">
        <v>70</v>
      </c>
      <c r="BQ21" t="s">
        <v>69</v>
      </c>
      <c r="BR21" t="s">
        <v>71</v>
      </c>
      <c r="BS21" t="s">
        <v>69</v>
      </c>
      <c r="BT21">
        <v>75.066999999999993</v>
      </c>
      <c r="BU21" t="s">
        <v>69</v>
      </c>
      <c r="BV21" t="s">
        <v>69</v>
      </c>
      <c r="BW21">
        <v>392</v>
      </c>
      <c r="BX21" t="s">
        <v>76</v>
      </c>
      <c r="BY21" t="s">
        <v>69</v>
      </c>
      <c r="BZ21" t="s">
        <v>75</v>
      </c>
      <c r="CA21" t="s">
        <v>69</v>
      </c>
      <c r="CB21">
        <v>146.18899999999999</v>
      </c>
      <c r="CC21" t="s">
        <v>69</v>
      </c>
      <c r="CD21" t="s">
        <v>69</v>
      </c>
      <c r="CE21">
        <v>436</v>
      </c>
      <c r="CF21" t="s">
        <v>155</v>
      </c>
      <c r="CG21" t="s">
        <v>69</v>
      </c>
      <c r="CH21" t="s">
        <v>150</v>
      </c>
      <c r="CI21" t="s">
        <v>69</v>
      </c>
      <c r="CJ21">
        <v>105.093</v>
      </c>
      <c r="CK21" t="s">
        <v>69</v>
      </c>
      <c r="CL21" t="s">
        <v>69</v>
      </c>
      <c r="CM21">
        <v>438</v>
      </c>
      <c r="CN21" t="s">
        <v>147</v>
      </c>
      <c r="CO21" t="s">
        <v>69</v>
      </c>
      <c r="CP21" t="s">
        <v>148</v>
      </c>
      <c r="CQ21" t="s">
        <v>69</v>
      </c>
      <c r="CR21">
        <v>146.14599999999999</v>
      </c>
      <c r="CS21" t="s">
        <v>69</v>
      </c>
      <c r="CT21" t="s">
        <v>69</v>
      </c>
      <c r="CU21">
        <v>439</v>
      </c>
      <c r="CV21" t="s">
        <v>70</v>
      </c>
      <c r="CW21" t="s">
        <v>69</v>
      </c>
      <c r="CX21" t="s">
        <v>71</v>
      </c>
      <c r="CY21" t="s">
        <v>69</v>
      </c>
      <c r="CZ21">
        <v>75.066999999999993</v>
      </c>
      <c r="DA21" t="s">
        <v>69</v>
      </c>
      <c r="DB21" t="s">
        <v>69</v>
      </c>
      <c r="DC21">
        <v>441</v>
      </c>
      <c r="DD21" t="s">
        <v>155</v>
      </c>
      <c r="DE21" t="s">
        <v>69</v>
      </c>
      <c r="DF21" t="s">
        <v>150</v>
      </c>
      <c r="DG21" t="s">
        <v>69</v>
      </c>
      <c r="DH21">
        <v>105.093</v>
      </c>
      <c r="DI21" t="s">
        <v>69</v>
      </c>
      <c r="DJ21" t="s">
        <v>69</v>
      </c>
      <c r="DK21">
        <v>460</v>
      </c>
      <c r="DL21" t="s">
        <v>155</v>
      </c>
      <c r="DM21" t="s">
        <v>69</v>
      </c>
      <c r="DN21" t="s">
        <v>150</v>
      </c>
      <c r="DO21" t="s">
        <v>69</v>
      </c>
      <c r="DP21">
        <v>105.093</v>
      </c>
      <c r="DQ21" t="s">
        <v>69</v>
      </c>
      <c r="DR21" t="s">
        <v>69</v>
      </c>
      <c r="DS21">
        <v>462</v>
      </c>
      <c r="DT21" t="s">
        <v>70</v>
      </c>
      <c r="DU21" t="s">
        <v>69</v>
      </c>
      <c r="DV21" t="s">
        <v>71</v>
      </c>
      <c r="DW21" t="s">
        <v>69</v>
      </c>
      <c r="DX21">
        <v>75.066999999999993</v>
      </c>
      <c r="DY21" t="s">
        <v>69</v>
      </c>
      <c r="DZ21" t="s">
        <v>69</v>
      </c>
      <c r="EA21">
        <v>464</v>
      </c>
      <c r="EB21" t="s">
        <v>70</v>
      </c>
      <c r="EC21" t="s">
        <v>69</v>
      </c>
      <c r="ED21" t="s">
        <v>71</v>
      </c>
      <c r="EE21" t="s">
        <v>69</v>
      </c>
      <c r="EF21">
        <v>75.066999999999993</v>
      </c>
      <c r="EG21" t="s">
        <v>69</v>
      </c>
      <c r="EH21" t="s">
        <v>69</v>
      </c>
    </row>
    <row r="22" spans="1:138" x14ac:dyDescent="0.25">
      <c r="A22">
        <v>7</v>
      </c>
      <c r="B22" t="str">
        <f>HYPERLINK("http://www.ncbi.nlm.nih.gov/protein/XP_025839165.1","XP_025839165.1")</f>
        <v>XP_025839165.1</v>
      </c>
      <c r="C22">
        <v>38435</v>
      </c>
      <c r="D22" t="str">
        <f>HYPERLINK("http://www.ncbi.nlm.nih.gov/Taxonomy/Browser/wwwtax.cgi?mode=Info&amp;id=9627&amp;lvl=3&amp;lin=f&amp;keep=1&amp;srchmode=1&amp;unlock","9627")</f>
        <v>9627</v>
      </c>
      <c r="E22" t="s">
        <v>66</v>
      </c>
      <c r="F22" t="str">
        <f>HYPERLINK("http://www.ncbi.nlm.nih.gov/Taxonomy/Browser/wwwtax.cgi?mode=Info&amp;id=9627&amp;lvl=3&amp;lin=f&amp;keep=1&amp;srchmode=1&amp;unlock","Vulpes vulpes")</f>
        <v>Vulpes vulpes</v>
      </c>
      <c r="G22" t="s">
        <v>95</v>
      </c>
      <c r="H22" t="str">
        <f>HYPERLINK("http://www.ncbi.nlm.nih.gov/protein/XP_025839165.1","transmembrane protease serine 2")</f>
        <v>transmembrane protease serine 2</v>
      </c>
      <c r="I22" t="s">
        <v>269</v>
      </c>
      <c r="J22" t="s">
        <v>69</v>
      </c>
      <c r="K22">
        <v>296</v>
      </c>
      <c r="L22" t="s">
        <v>157</v>
      </c>
      <c r="M22" t="s">
        <v>69</v>
      </c>
      <c r="N22" t="s">
        <v>75</v>
      </c>
      <c r="O22" t="s">
        <v>69</v>
      </c>
      <c r="P22">
        <v>155.15600000000001</v>
      </c>
      <c r="Q22" t="s">
        <v>69</v>
      </c>
      <c r="R22" t="s">
        <v>69</v>
      </c>
      <c r="S22">
        <v>299</v>
      </c>
      <c r="T22" t="s">
        <v>119</v>
      </c>
      <c r="U22" t="s">
        <v>69</v>
      </c>
      <c r="V22" t="s">
        <v>120</v>
      </c>
      <c r="W22" t="s">
        <v>69</v>
      </c>
      <c r="X22">
        <v>147.131</v>
      </c>
      <c r="Y22" t="s">
        <v>69</v>
      </c>
      <c r="Z22" t="s">
        <v>69</v>
      </c>
      <c r="AA22">
        <v>338</v>
      </c>
      <c r="AB22" t="s">
        <v>156</v>
      </c>
      <c r="AC22" t="s">
        <v>69</v>
      </c>
      <c r="AD22" t="s">
        <v>120</v>
      </c>
      <c r="AE22" t="s">
        <v>69</v>
      </c>
      <c r="AF22">
        <v>133.10400000000001</v>
      </c>
      <c r="AG22" t="s">
        <v>69</v>
      </c>
      <c r="AH22" t="s">
        <v>69</v>
      </c>
      <c r="AI22">
        <v>340</v>
      </c>
      <c r="AJ22" t="s">
        <v>76</v>
      </c>
      <c r="AK22" t="s">
        <v>69</v>
      </c>
      <c r="AL22" t="s">
        <v>75</v>
      </c>
      <c r="AM22" t="s">
        <v>69</v>
      </c>
      <c r="AN22">
        <v>146.18899999999999</v>
      </c>
      <c r="AO22" t="s">
        <v>69</v>
      </c>
      <c r="AP22" t="s">
        <v>69</v>
      </c>
      <c r="AQ22">
        <v>341</v>
      </c>
      <c r="AR22" t="s">
        <v>149</v>
      </c>
      <c r="AS22" t="s">
        <v>69</v>
      </c>
      <c r="AT22" t="s">
        <v>150</v>
      </c>
      <c r="AU22" t="s">
        <v>69</v>
      </c>
      <c r="AV22">
        <v>119.119</v>
      </c>
      <c r="AW22" t="s">
        <v>69</v>
      </c>
      <c r="AX22" t="s">
        <v>69</v>
      </c>
      <c r="AY22">
        <v>342</v>
      </c>
      <c r="AZ22" t="s">
        <v>76</v>
      </c>
      <c r="BA22" t="s">
        <v>69</v>
      </c>
      <c r="BB22" t="s">
        <v>75</v>
      </c>
      <c r="BC22" t="s">
        <v>69</v>
      </c>
      <c r="BD22">
        <v>146.18899999999999</v>
      </c>
      <c r="BE22" t="s">
        <v>69</v>
      </c>
      <c r="BF22" t="s">
        <v>69</v>
      </c>
      <c r="BG22">
        <v>389</v>
      </c>
      <c r="BH22" t="s">
        <v>119</v>
      </c>
      <c r="BI22" t="s">
        <v>69</v>
      </c>
      <c r="BJ22" t="s">
        <v>120</v>
      </c>
      <c r="BK22" t="s">
        <v>69</v>
      </c>
      <c r="BL22">
        <v>147.131</v>
      </c>
      <c r="BM22" t="s">
        <v>69</v>
      </c>
      <c r="BN22" t="s">
        <v>69</v>
      </c>
      <c r="BO22">
        <v>391</v>
      </c>
      <c r="BP22" t="s">
        <v>70</v>
      </c>
      <c r="BQ22" t="s">
        <v>69</v>
      </c>
      <c r="BR22" t="s">
        <v>71</v>
      </c>
      <c r="BS22" t="s">
        <v>69</v>
      </c>
      <c r="BT22">
        <v>75.066999999999993</v>
      </c>
      <c r="BU22" t="s">
        <v>69</v>
      </c>
      <c r="BV22" t="s">
        <v>69</v>
      </c>
      <c r="BW22">
        <v>392</v>
      </c>
      <c r="BX22" t="s">
        <v>76</v>
      </c>
      <c r="BY22" t="s">
        <v>69</v>
      </c>
      <c r="BZ22" t="s">
        <v>75</v>
      </c>
      <c r="CA22" t="s">
        <v>69</v>
      </c>
      <c r="CB22">
        <v>146.18899999999999</v>
      </c>
      <c r="CC22" t="s">
        <v>69</v>
      </c>
      <c r="CD22" t="s">
        <v>69</v>
      </c>
      <c r="CE22">
        <v>436</v>
      </c>
      <c r="CF22" t="s">
        <v>155</v>
      </c>
      <c r="CG22" t="s">
        <v>69</v>
      </c>
      <c r="CH22" t="s">
        <v>150</v>
      </c>
      <c r="CI22" t="s">
        <v>69</v>
      </c>
      <c r="CJ22">
        <v>105.093</v>
      </c>
      <c r="CK22" t="s">
        <v>69</v>
      </c>
      <c r="CL22" t="s">
        <v>69</v>
      </c>
      <c r="CM22">
        <v>438</v>
      </c>
      <c r="CN22" t="s">
        <v>147</v>
      </c>
      <c r="CO22" t="s">
        <v>69</v>
      </c>
      <c r="CP22" t="s">
        <v>148</v>
      </c>
      <c r="CQ22" t="s">
        <v>69</v>
      </c>
      <c r="CR22">
        <v>146.14599999999999</v>
      </c>
      <c r="CS22" t="s">
        <v>69</v>
      </c>
      <c r="CT22" t="s">
        <v>69</v>
      </c>
      <c r="CU22">
        <v>439</v>
      </c>
      <c r="CV22" t="s">
        <v>70</v>
      </c>
      <c r="CW22" t="s">
        <v>69</v>
      </c>
      <c r="CX22" t="s">
        <v>71</v>
      </c>
      <c r="CY22" t="s">
        <v>69</v>
      </c>
      <c r="CZ22">
        <v>75.066999999999993</v>
      </c>
      <c r="DA22" t="s">
        <v>69</v>
      </c>
      <c r="DB22" t="s">
        <v>69</v>
      </c>
      <c r="DC22">
        <v>441</v>
      </c>
      <c r="DD22" t="s">
        <v>155</v>
      </c>
      <c r="DE22" t="s">
        <v>69</v>
      </c>
      <c r="DF22" t="s">
        <v>150</v>
      </c>
      <c r="DG22" t="s">
        <v>69</v>
      </c>
      <c r="DH22">
        <v>105.093</v>
      </c>
      <c r="DI22" t="s">
        <v>69</v>
      </c>
      <c r="DJ22" t="s">
        <v>69</v>
      </c>
      <c r="DK22">
        <v>460</v>
      </c>
      <c r="DL22" t="s">
        <v>155</v>
      </c>
      <c r="DM22" t="s">
        <v>69</v>
      </c>
      <c r="DN22" t="s">
        <v>150</v>
      </c>
      <c r="DO22" t="s">
        <v>69</v>
      </c>
      <c r="DP22">
        <v>105.093</v>
      </c>
      <c r="DQ22" t="s">
        <v>69</v>
      </c>
      <c r="DR22" t="s">
        <v>69</v>
      </c>
      <c r="DS22">
        <v>462</v>
      </c>
      <c r="DT22" t="s">
        <v>70</v>
      </c>
      <c r="DU22" t="s">
        <v>69</v>
      </c>
      <c r="DV22" t="s">
        <v>71</v>
      </c>
      <c r="DW22" t="s">
        <v>69</v>
      </c>
      <c r="DX22">
        <v>75.066999999999993</v>
      </c>
      <c r="DY22" t="s">
        <v>69</v>
      </c>
      <c r="DZ22" t="s">
        <v>69</v>
      </c>
      <c r="EA22">
        <v>464</v>
      </c>
      <c r="EB22" t="s">
        <v>70</v>
      </c>
      <c r="EC22" t="s">
        <v>69</v>
      </c>
      <c r="ED22" t="s">
        <v>71</v>
      </c>
      <c r="EE22" t="s">
        <v>69</v>
      </c>
      <c r="EF22">
        <v>75.066999999999993</v>
      </c>
      <c r="EG22" t="s">
        <v>69</v>
      </c>
      <c r="EH22" t="s">
        <v>69</v>
      </c>
    </row>
    <row r="23" spans="1:138" x14ac:dyDescent="0.25">
      <c r="A23">
        <v>7</v>
      </c>
      <c r="B23" t="str">
        <f>HYPERLINK("http://www.ncbi.nlm.nih.gov/protein/XP_042812026.1","XP_042812026.1")</f>
        <v>XP_042812026.1</v>
      </c>
      <c r="C23">
        <v>53677</v>
      </c>
      <c r="D23" t="str">
        <f>HYPERLINK("http://www.ncbi.nlm.nih.gov/Taxonomy/Browser/wwwtax.cgi?mode=Info&amp;id=9689&amp;lvl=3&amp;lin=f&amp;keep=1&amp;srchmode=1&amp;unlock","9689")</f>
        <v>9689</v>
      </c>
      <c r="E23" t="s">
        <v>66</v>
      </c>
      <c r="F23" t="str">
        <f>HYPERLINK("http://www.ncbi.nlm.nih.gov/Taxonomy/Browser/wwwtax.cgi?mode=Info&amp;id=9689&amp;lvl=3&amp;lin=f&amp;keep=1&amp;srchmode=1&amp;unlock","Panthera leo")</f>
        <v>Panthera leo</v>
      </c>
      <c r="G23" t="s">
        <v>90</v>
      </c>
      <c r="H23" t="str">
        <f>HYPERLINK("http://www.ncbi.nlm.nih.gov/protein/XP_042812026.1","transmembrane protease serine 2")</f>
        <v>transmembrane protease serine 2</v>
      </c>
      <c r="I23" t="s">
        <v>269</v>
      </c>
      <c r="J23" t="s">
        <v>69</v>
      </c>
      <c r="K23">
        <v>296</v>
      </c>
      <c r="L23" t="s">
        <v>157</v>
      </c>
      <c r="M23" t="s">
        <v>69</v>
      </c>
      <c r="N23" t="s">
        <v>75</v>
      </c>
      <c r="O23" t="s">
        <v>69</v>
      </c>
      <c r="P23">
        <v>155.15600000000001</v>
      </c>
      <c r="Q23" t="s">
        <v>69</v>
      </c>
      <c r="R23" t="s">
        <v>69</v>
      </c>
      <c r="S23">
        <v>299</v>
      </c>
      <c r="T23" t="s">
        <v>119</v>
      </c>
      <c r="U23" t="s">
        <v>69</v>
      </c>
      <c r="V23" t="s">
        <v>120</v>
      </c>
      <c r="W23" t="s">
        <v>69</v>
      </c>
      <c r="X23">
        <v>147.131</v>
      </c>
      <c r="Y23" t="s">
        <v>69</v>
      </c>
      <c r="Z23" t="s">
        <v>69</v>
      </c>
      <c r="AA23">
        <v>338</v>
      </c>
      <c r="AB23" t="s">
        <v>156</v>
      </c>
      <c r="AC23" t="s">
        <v>69</v>
      </c>
      <c r="AD23" t="s">
        <v>120</v>
      </c>
      <c r="AE23" t="s">
        <v>69</v>
      </c>
      <c r="AF23">
        <v>133.10400000000001</v>
      </c>
      <c r="AG23" t="s">
        <v>69</v>
      </c>
      <c r="AH23" t="s">
        <v>69</v>
      </c>
      <c r="AI23">
        <v>340</v>
      </c>
      <c r="AJ23" t="s">
        <v>76</v>
      </c>
      <c r="AK23" t="s">
        <v>69</v>
      </c>
      <c r="AL23" t="s">
        <v>75</v>
      </c>
      <c r="AM23" t="s">
        <v>69</v>
      </c>
      <c r="AN23">
        <v>146.18899999999999</v>
      </c>
      <c r="AO23" t="s">
        <v>69</v>
      </c>
      <c r="AP23" t="s">
        <v>69</v>
      </c>
      <c r="AQ23">
        <v>341</v>
      </c>
      <c r="AR23" t="s">
        <v>155</v>
      </c>
      <c r="AS23" t="s">
        <v>153</v>
      </c>
      <c r="AT23" t="s">
        <v>150</v>
      </c>
      <c r="AU23" t="s">
        <v>69</v>
      </c>
      <c r="AV23">
        <v>105.093</v>
      </c>
      <c r="AW23" t="s">
        <v>69</v>
      </c>
      <c r="AX23" t="s">
        <v>69</v>
      </c>
      <c r="AY23">
        <v>342</v>
      </c>
      <c r="AZ23" t="s">
        <v>76</v>
      </c>
      <c r="BA23" t="s">
        <v>69</v>
      </c>
      <c r="BB23" t="s">
        <v>75</v>
      </c>
      <c r="BC23" t="s">
        <v>69</v>
      </c>
      <c r="BD23">
        <v>146.18899999999999</v>
      </c>
      <c r="BE23" t="s">
        <v>69</v>
      </c>
      <c r="BF23" t="s">
        <v>69</v>
      </c>
      <c r="BG23">
        <v>389</v>
      </c>
      <c r="BH23" t="s">
        <v>119</v>
      </c>
      <c r="BI23" t="s">
        <v>69</v>
      </c>
      <c r="BJ23" t="s">
        <v>120</v>
      </c>
      <c r="BK23" t="s">
        <v>69</v>
      </c>
      <c r="BL23">
        <v>147.131</v>
      </c>
      <c r="BM23" t="s">
        <v>69</v>
      </c>
      <c r="BN23" t="s">
        <v>69</v>
      </c>
      <c r="BO23">
        <v>391</v>
      </c>
      <c r="BP23" t="s">
        <v>70</v>
      </c>
      <c r="BQ23" t="s">
        <v>69</v>
      </c>
      <c r="BR23" t="s">
        <v>71</v>
      </c>
      <c r="BS23" t="s">
        <v>69</v>
      </c>
      <c r="BT23">
        <v>75.066999999999993</v>
      </c>
      <c r="BU23" t="s">
        <v>69</v>
      </c>
      <c r="BV23" t="s">
        <v>69</v>
      </c>
      <c r="BW23">
        <v>392</v>
      </c>
      <c r="BX23" t="s">
        <v>76</v>
      </c>
      <c r="BY23" t="s">
        <v>69</v>
      </c>
      <c r="BZ23" t="s">
        <v>75</v>
      </c>
      <c r="CA23" t="s">
        <v>69</v>
      </c>
      <c r="CB23">
        <v>146.18899999999999</v>
      </c>
      <c r="CC23" t="s">
        <v>69</v>
      </c>
      <c r="CD23" t="s">
        <v>69</v>
      </c>
      <c r="CE23">
        <v>436</v>
      </c>
      <c r="CF23" t="s">
        <v>155</v>
      </c>
      <c r="CG23" t="s">
        <v>69</v>
      </c>
      <c r="CH23" t="s">
        <v>150</v>
      </c>
      <c r="CI23" t="s">
        <v>69</v>
      </c>
      <c r="CJ23">
        <v>105.093</v>
      </c>
      <c r="CK23" t="s">
        <v>69</v>
      </c>
      <c r="CL23" t="s">
        <v>69</v>
      </c>
      <c r="CM23">
        <v>438</v>
      </c>
      <c r="CN23" t="s">
        <v>147</v>
      </c>
      <c r="CO23" t="s">
        <v>69</v>
      </c>
      <c r="CP23" t="s">
        <v>148</v>
      </c>
      <c r="CQ23" t="s">
        <v>69</v>
      </c>
      <c r="CR23">
        <v>146.14599999999999</v>
      </c>
      <c r="CS23" t="s">
        <v>69</v>
      </c>
      <c r="CT23" t="s">
        <v>69</v>
      </c>
      <c r="CU23">
        <v>439</v>
      </c>
      <c r="CV23" t="s">
        <v>70</v>
      </c>
      <c r="CW23" t="s">
        <v>69</v>
      </c>
      <c r="CX23" t="s">
        <v>71</v>
      </c>
      <c r="CY23" t="s">
        <v>69</v>
      </c>
      <c r="CZ23">
        <v>75.066999999999993</v>
      </c>
      <c r="DA23" t="s">
        <v>69</v>
      </c>
      <c r="DB23" t="s">
        <v>69</v>
      </c>
      <c r="DC23">
        <v>441</v>
      </c>
      <c r="DD23" t="s">
        <v>155</v>
      </c>
      <c r="DE23" t="s">
        <v>69</v>
      </c>
      <c r="DF23" t="s">
        <v>150</v>
      </c>
      <c r="DG23" t="s">
        <v>69</v>
      </c>
      <c r="DH23">
        <v>105.093</v>
      </c>
      <c r="DI23" t="s">
        <v>69</v>
      </c>
      <c r="DJ23" t="s">
        <v>69</v>
      </c>
      <c r="DK23">
        <v>460</v>
      </c>
      <c r="DL23" t="s">
        <v>155</v>
      </c>
      <c r="DM23" t="s">
        <v>69</v>
      </c>
      <c r="DN23" t="s">
        <v>150</v>
      </c>
      <c r="DO23" t="s">
        <v>69</v>
      </c>
      <c r="DP23">
        <v>105.093</v>
      </c>
      <c r="DQ23" t="s">
        <v>69</v>
      </c>
      <c r="DR23" t="s">
        <v>69</v>
      </c>
      <c r="DS23">
        <v>462</v>
      </c>
      <c r="DT23" t="s">
        <v>70</v>
      </c>
      <c r="DU23" t="s">
        <v>69</v>
      </c>
      <c r="DV23" t="s">
        <v>71</v>
      </c>
      <c r="DW23" t="s">
        <v>69</v>
      </c>
      <c r="DX23">
        <v>75.066999999999993</v>
      </c>
      <c r="DY23" t="s">
        <v>69</v>
      </c>
      <c r="DZ23" t="s">
        <v>69</v>
      </c>
      <c r="EA23">
        <v>464</v>
      </c>
      <c r="EB23" t="s">
        <v>70</v>
      </c>
      <c r="EC23" t="s">
        <v>69</v>
      </c>
      <c r="ED23" t="s">
        <v>71</v>
      </c>
      <c r="EE23" t="s">
        <v>69</v>
      </c>
      <c r="EF23">
        <v>75.066999999999993</v>
      </c>
      <c r="EG23" t="s">
        <v>69</v>
      </c>
      <c r="EH23" t="s">
        <v>69</v>
      </c>
    </row>
    <row r="24" spans="1:138" x14ac:dyDescent="0.25">
      <c r="A24">
        <v>7</v>
      </c>
      <c r="B24" t="str">
        <f>HYPERLINK("http://www.ncbi.nlm.nih.gov/protein/XP_030185863.1","XP_030185863.1")</f>
        <v>XP_030185863.1</v>
      </c>
      <c r="C24">
        <v>42175</v>
      </c>
      <c r="D24" t="str">
        <f>HYPERLINK("http://www.ncbi.nlm.nih.gov/Taxonomy/Browser/wwwtax.cgi?mode=Info&amp;id=61383&amp;lvl=3&amp;lin=f&amp;keep=1&amp;srchmode=1&amp;unlock","61383")</f>
        <v>61383</v>
      </c>
      <c r="E24" t="s">
        <v>66</v>
      </c>
      <c r="F24" t="str">
        <f>HYPERLINK("http://www.ncbi.nlm.nih.gov/Taxonomy/Browser/wwwtax.cgi?mode=Info&amp;id=61383&amp;lvl=3&amp;lin=f&amp;keep=1&amp;srchmode=1&amp;unlock","Lynx canadensis")</f>
        <v>Lynx canadensis</v>
      </c>
      <c r="G24" t="s">
        <v>105</v>
      </c>
      <c r="H24" t="str">
        <f>HYPERLINK("http://www.ncbi.nlm.nih.gov/protein/XP_030185863.1","transmembrane protease serine 2")</f>
        <v>transmembrane protease serine 2</v>
      </c>
      <c r="I24" t="s">
        <v>269</v>
      </c>
      <c r="J24" t="s">
        <v>69</v>
      </c>
      <c r="K24">
        <v>296</v>
      </c>
      <c r="L24" t="s">
        <v>157</v>
      </c>
      <c r="M24" t="s">
        <v>69</v>
      </c>
      <c r="N24" t="s">
        <v>75</v>
      </c>
      <c r="O24" t="s">
        <v>69</v>
      </c>
      <c r="P24">
        <v>155.15600000000001</v>
      </c>
      <c r="Q24" t="s">
        <v>69</v>
      </c>
      <c r="R24" t="s">
        <v>69</v>
      </c>
      <c r="S24">
        <v>299</v>
      </c>
      <c r="T24" t="s">
        <v>119</v>
      </c>
      <c r="U24" t="s">
        <v>69</v>
      </c>
      <c r="V24" t="s">
        <v>120</v>
      </c>
      <c r="W24" t="s">
        <v>69</v>
      </c>
      <c r="X24">
        <v>147.131</v>
      </c>
      <c r="Y24" t="s">
        <v>69</v>
      </c>
      <c r="Z24" t="s">
        <v>69</v>
      </c>
      <c r="AA24">
        <v>338</v>
      </c>
      <c r="AB24" t="s">
        <v>156</v>
      </c>
      <c r="AC24" t="s">
        <v>69</v>
      </c>
      <c r="AD24" t="s">
        <v>120</v>
      </c>
      <c r="AE24" t="s">
        <v>69</v>
      </c>
      <c r="AF24">
        <v>133.10400000000001</v>
      </c>
      <c r="AG24" t="s">
        <v>69</v>
      </c>
      <c r="AH24" t="s">
        <v>69</v>
      </c>
      <c r="AI24">
        <v>340</v>
      </c>
      <c r="AJ24" t="s">
        <v>76</v>
      </c>
      <c r="AK24" t="s">
        <v>69</v>
      </c>
      <c r="AL24" t="s">
        <v>75</v>
      </c>
      <c r="AM24" t="s">
        <v>69</v>
      </c>
      <c r="AN24">
        <v>146.18899999999999</v>
      </c>
      <c r="AO24" t="s">
        <v>69</v>
      </c>
      <c r="AP24" t="s">
        <v>69</v>
      </c>
      <c r="AQ24">
        <v>341</v>
      </c>
      <c r="AR24" t="s">
        <v>149</v>
      </c>
      <c r="AS24" t="s">
        <v>69</v>
      </c>
      <c r="AT24" t="s">
        <v>150</v>
      </c>
      <c r="AU24" t="s">
        <v>69</v>
      </c>
      <c r="AV24">
        <v>119.119</v>
      </c>
      <c r="AW24" t="s">
        <v>69</v>
      </c>
      <c r="AX24" t="s">
        <v>69</v>
      </c>
      <c r="AY24">
        <v>342</v>
      </c>
      <c r="AZ24" t="s">
        <v>76</v>
      </c>
      <c r="BA24" t="s">
        <v>69</v>
      </c>
      <c r="BB24" t="s">
        <v>75</v>
      </c>
      <c r="BC24" t="s">
        <v>69</v>
      </c>
      <c r="BD24">
        <v>146.18899999999999</v>
      </c>
      <c r="BE24" t="s">
        <v>69</v>
      </c>
      <c r="BF24" t="s">
        <v>69</v>
      </c>
      <c r="BG24">
        <v>389</v>
      </c>
      <c r="BH24" t="s">
        <v>119</v>
      </c>
      <c r="BI24" t="s">
        <v>69</v>
      </c>
      <c r="BJ24" t="s">
        <v>120</v>
      </c>
      <c r="BK24" t="s">
        <v>69</v>
      </c>
      <c r="BL24">
        <v>147.131</v>
      </c>
      <c r="BM24" t="s">
        <v>69</v>
      </c>
      <c r="BN24" t="s">
        <v>69</v>
      </c>
      <c r="BO24">
        <v>391</v>
      </c>
      <c r="BP24" t="s">
        <v>70</v>
      </c>
      <c r="BQ24" t="s">
        <v>69</v>
      </c>
      <c r="BR24" t="s">
        <v>71</v>
      </c>
      <c r="BS24" t="s">
        <v>69</v>
      </c>
      <c r="BT24">
        <v>75.066999999999993</v>
      </c>
      <c r="BU24" t="s">
        <v>69</v>
      </c>
      <c r="BV24" t="s">
        <v>69</v>
      </c>
      <c r="BW24">
        <v>392</v>
      </c>
      <c r="BX24" t="s">
        <v>76</v>
      </c>
      <c r="BY24" t="s">
        <v>69</v>
      </c>
      <c r="BZ24" t="s">
        <v>75</v>
      </c>
      <c r="CA24" t="s">
        <v>69</v>
      </c>
      <c r="CB24">
        <v>146.18899999999999</v>
      </c>
      <c r="CC24" t="s">
        <v>69</v>
      </c>
      <c r="CD24" t="s">
        <v>69</v>
      </c>
      <c r="CE24">
        <v>436</v>
      </c>
      <c r="CF24" t="s">
        <v>155</v>
      </c>
      <c r="CG24" t="s">
        <v>69</v>
      </c>
      <c r="CH24" t="s">
        <v>150</v>
      </c>
      <c r="CI24" t="s">
        <v>69</v>
      </c>
      <c r="CJ24">
        <v>105.093</v>
      </c>
      <c r="CK24" t="s">
        <v>69</v>
      </c>
      <c r="CL24" t="s">
        <v>69</v>
      </c>
      <c r="CM24">
        <v>438</v>
      </c>
      <c r="CN24" t="s">
        <v>147</v>
      </c>
      <c r="CO24" t="s">
        <v>69</v>
      </c>
      <c r="CP24" t="s">
        <v>148</v>
      </c>
      <c r="CQ24" t="s">
        <v>69</v>
      </c>
      <c r="CR24">
        <v>146.14599999999999</v>
      </c>
      <c r="CS24" t="s">
        <v>69</v>
      </c>
      <c r="CT24" t="s">
        <v>69</v>
      </c>
      <c r="CU24">
        <v>439</v>
      </c>
      <c r="CV24" t="s">
        <v>70</v>
      </c>
      <c r="CW24" t="s">
        <v>69</v>
      </c>
      <c r="CX24" t="s">
        <v>71</v>
      </c>
      <c r="CY24" t="s">
        <v>69</v>
      </c>
      <c r="CZ24">
        <v>75.066999999999993</v>
      </c>
      <c r="DA24" t="s">
        <v>69</v>
      </c>
      <c r="DB24" t="s">
        <v>69</v>
      </c>
      <c r="DC24">
        <v>441</v>
      </c>
      <c r="DD24" t="s">
        <v>155</v>
      </c>
      <c r="DE24" t="s">
        <v>69</v>
      </c>
      <c r="DF24" t="s">
        <v>150</v>
      </c>
      <c r="DG24" t="s">
        <v>69</v>
      </c>
      <c r="DH24">
        <v>105.093</v>
      </c>
      <c r="DI24" t="s">
        <v>69</v>
      </c>
      <c r="DJ24" t="s">
        <v>69</v>
      </c>
      <c r="DK24">
        <v>460</v>
      </c>
      <c r="DL24" t="s">
        <v>155</v>
      </c>
      <c r="DM24" t="s">
        <v>69</v>
      </c>
      <c r="DN24" t="s">
        <v>150</v>
      </c>
      <c r="DO24" t="s">
        <v>69</v>
      </c>
      <c r="DP24">
        <v>105.093</v>
      </c>
      <c r="DQ24" t="s">
        <v>69</v>
      </c>
      <c r="DR24" t="s">
        <v>69</v>
      </c>
      <c r="DS24">
        <v>462</v>
      </c>
      <c r="DT24" t="s">
        <v>70</v>
      </c>
      <c r="DU24" t="s">
        <v>69</v>
      </c>
      <c r="DV24" t="s">
        <v>71</v>
      </c>
      <c r="DW24" t="s">
        <v>69</v>
      </c>
      <c r="DX24">
        <v>75.066999999999993</v>
      </c>
      <c r="DY24" t="s">
        <v>69</v>
      </c>
      <c r="DZ24" t="s">
        <v>69</v>
      </c>
      <c r="EA24">
        <v>464</v>
      </c>
      <c r="EB24" t="s">
        <v>70</v>
      </c>
      <c r="EC24" t="s">
        <v>69</v>
      </c>
      <c r="ED24" t="s">
        <v>71</v>
      </c>
      <c r="EE24" t="s">
        <v>69</v>
      </c>
      <c r="EF24">
        <v>75.066999999999993</v>
      </c>
      <c r="EG24" t="s">
        <v>69</v>
      </c>
      <c r="EH24" t="s">
        <v>69</v>
      </c>
    </row>
    <row r="25" spans="1:138" x14ac:dyDescent="0.25">
      <c r="A25">
        <v>7</v>
      </c>
      <c r="B25" t="str">
        <f>HYPERLINK("http://www.ncbi.nlm.nih.gov/protein/XP_046956446.1","XP_046956446.1")</f>
        <v>XP_046956446.1</v>
      </c>
      <c r="C25">
        <v>38764</v>
      </c>
      <c r="D25" t="str">
        <f>HYPERLINK("http://www.ncbi.nlm.nih.gov/Taxonomy/Browser/wwwtax.cgi?mode=Info&amp;id=61384&amp;lvl=3&amp;lin=f&amp;keep=1&amp;srchmode=1&amp;unlock","61384")</f>
        <v>61384</v>
      </c>
      <c r="E25" t="s">
        <v>66</v>
      </c>
      <c r="F25" t="str">
        <f>HYPERLINK("http://www.ncbi.nlm.nih.gov/Taxonomy/Browser/wwwtax.cgi?mode=Info&amp;id=61384&amp;lvl=3&amp;lin=f&amp;keep=1&amp;srchmode=1&amp;unlock","Lynx rufus")</f>
        <v>Lynx rufus</v>
      </c>
      <c r="G25" t="s">
        <v>93</v>
      </c>
      <c r="H25" t="str">
        <f>HYPERLINK("http://www.ncbi.nlm.nih.gov/protein/XP_046956446.1","transmembrane protease serine 2-like")</f>
        <v>transmembrane protease serine 2-like</v>
      </c>
      <c r="I25" t="s">
        <v>269</v>
      </c>
      <c r="J25" t="s">
        <v>69</v>
      </c>
      <c r="K25">
        <v>296</v>
      </c>
      <c r="L25" t="s">
        <v>157</v>
      </c>
      <c r="M25" t="s">
        <v>69</v>
      </c>
      <c r="N25" t="s">
        <v>75</v>
      </c>
      <c r="O25" t="s">
        <v>69</v>
      </c>
      <c r="P25">
        <v>155.15600000000001</v>
      </c>
      <c r="Q25" t="s">
        <v>69</v>
      </c>
      <c r="R25" t="s">
        <v>69</v>
      </c>
      <c r="S25">
        <v>299</v>
      </c>
      <c r="T25" t="s">
        <v>119</v>
      </c>
      <c r="U25" t="s">
        <v>69</v>
      </c>
      <c r="V25" t="s">
        <v>120</v>
      </c>
      <c r="W25" t="s">
        <v>69</v>
      </c>
      <c r="X25">
        <v>147.131</v>
      </c>
      <c r="Y25" t="s">
        <v>69</v>
      </c>
      <c r="Z25" t="s">
        <v>69</v>
      </c>
      <c r="AA25">
        <v>338</v>
      </c>
      <c r="AB25" t="s">
        <v>156</v>
      </c>
      <c r="AC25" t="s">
        <v>69</v>
      </c>
      <c r="AD25" t="s">
        <v>120</v>
      </c>
      <c r="AE25" t="s">
        <v>69</v>
      </c>
      <c r="AF25">
        <v>133.10400000000001</v>
      </c>
      <c r="AG25" t="s">
        <v>69</v>
      </c>
      <c r="AH25" t="s">
        <v>69</v>
      </c>
      <c r="AI25">
        <v>340</v>
      </c>
      <c r="AJ25" t="s">
        <v>76</v>
      </c>
      <c r="AK25" t="s">
        <v>69</v>
      </c>
      <c r="AL25" t="s">
        <v>75</v>
      </c>
      <c r="AM25" t="s">
        <v>69</v>
      </c>
      <c r="AN25">
        <v>146.18899999999999</v>
      </c>
      <c r="AO25" t="s">
        <v>69</v>
      </c>
      <c r="AP25" t="s">
        <v>69</v>
      </c>
      <c r="AQ25">
        <v>341</v>
      </c>
      <c r="AR25" t="s">
        <v>149</v>
      </c>
      <c r="AS25" t="s">
        <v>69</v>
      </c>
      <c r="AT25" t="s">
        <v>150</v>
      </c>
      <c r="AU25" t="s">
        <v>69</v>
      </c>
      <c r="AV25">
        <v>119.119</v>
      </c>
      <c r="AW25" t="s">
        <v>69</v>
      </c>
      <c r="AX25" t="s">
        <v>69</v>
      </c>
      <c r="AY25">
        <v>342</v>
      </c>
      <c r="AZ25" t="s">
        <v>76</v>
      </c>
      <c r="BA25" t="s">
        <v>69</v>
      </c>
      <c r="BB25" t="s">
        <v>75</v>
      </c>
      <c r="BC25" t="s">
        <v>69</v>
      </c>
      <c r="BD25">
        <v>146.18899999999999</v>
      </c>
      <c r="BE25" t="s">
        <v>69</v>
      </c>
      <c r="BF25" t="s">
        <v>69</v>
      </c>
      <c r="BG25">
        <v>389</v>
      </c>
      <c r="BH25" t="s">
        <v>119</v>
      </c>
      <c r="BI25" t="s">
        <v>69</v>
      </c>
      <c r="BJ25" t="s">
        <v>120</v>
      </c>
      <c r="BK25" t="s">
        <v>69</v>
      </c>
      <c r="BL25">
        <v>147.131</v>
      </c>
      <c r="BM25" t="s">
        <v>69</v>
      </c>
      <c r="BN25" t="s">
        <v>69</v>
      </c>
      <c r="BO25">
        <v>391</v>
      </c>
      <c r="BP25" t="s">
        <v>70</v>
      </c>
      <c r="BQ25" t="s">
        <v>69</v>
      </c>
      <c r="BR25" t="s">
        <v>71</v>
      </c>
      <c r="BS25" t="s">
        <v>69</v>
      </c>
      <c r="BT25">
        <v>75.066999999999993</v>
      </c>
      <c r="BU25" t="s">
        <v>69</v>
      </c>
      <c r="BV25" t="s">
        <v>69</v>
      </c>
      <c r="BW25">
        <v>392</v>
      </c>
      <c r="BX25" t="s">
        <v>76</v>
      </c>
      <c r="BY25" t="s">
        <v>69</v>
      </c>
      <c r="BZ25" t="s">
        <v>75</v>
      </c>
      <c r="CA25" t="s">
        <v>69</v>
      </c>
      <c r="CB25">
        <v>146.18899999999999</v>
      </c>
      <c r="CC25" t="s">
        <v>69</v>
      </c>
      <c r="CD25" t="s">
        <v>69</v>
      </c>
      <c r="CE25">
        <v>436</v>
      </c>
      <c r="CF25" t="s">
        <v>155</v>
      </c>
      <c r="CG25" t="s">
        <v>69</v>
      </c>
      <c r="CH25" t="s">
        <v>150</v>
      </c>
      <c r="CI25" t="s">
        <v>69</v>
      </c>
      <c r="CJ25">
        <v>105.093</v>
      </c>
      <c r="CK25" t="s">
        <v>69</v>
      </c>
      <c r="CL25" t="s">
        <v>69</v>
      </c>
      <c r="CM25">
        <v>438</v>
      </c>
      <c r="CN25" t="s">
        <v>147</v>
      </c>
      <c r="CO25" t="s">
        <v>69</v>
      </c>
      <c r="CP25" t="s">
        <v>148</v>
      </c>
      <c r="CQ25" t="s">
        <v>69</v>
      </c>
      <c r="CR25">
        <v>146.14599999999999</v>
      </c>
      <c r="CS25" t="s">
        <v>69</v>
      </c>
      <c r="CT25" t="s">
        <v>69</v>
      </c>
      <c r="CU25">
        <v>439</v>
      </c>
      <c r="CV25" t="s">
        <v>70</v>
      </c>
      <c r="CW25" t="s">
        <v>69</v>
      </c>
      <c r="CX25" t="s">
        <v>71</v>
      </c>
      <c r="CY25" t="s">
        <v>69</v>
      </c>
      <c r="CZ25">
        <v>75.066999999999993</v>
      </c>
      <c r="DA25" t="s">
        <v>69</v>
      </c>
      <c r="DB25" t="s">
        <v>69</v>
      </c>
      <c r="DC25">
        <v>441</v>
      </c>
      <c r="DD25" t="s">
        <v>155</v>
      </c>
      <c r="DE25" t="s">
        <v>69</v>
      </c>
      <c r="DF25" t="s">
        <v>150</v>
      </c>
      <c r="DG25" t="s">
        <v>69</v>
      </c>
      <c r="DH25">
        <v>105.093</v>
      </c>
      <c r="DI25" t="s">
        <v>69</v>
      </c>
      <c r="DJ25" t="s">
        <v>69</v>
      </c>
      <c r="DK25">
        <v>460</v>
      </c>
      <c r="DL25" t="s">
        <v>155</v>
      </c>
      <c r="DM25" t="s">
        <v>69</v>
      </c>
      <c r="DN25" t="s">
        <v>150</v>
      </c>
      <c r="DO25" t="s">
        <v>69</v>
      </c>
      <c r="DP25">
        <v>105.093</v>
      </c>
      <c r="DQ25" t="s">
        <v>69</v>
      </c>
      <c r="DR25" t="s">
        <v>69</v>
      </c>
      <c r="DS25">
        <v>462</v>
      </c>
      <c r="DT25" t="s">
        <v>70</v>
      </c>
      <c r="DU25" t="s">
        <v>69</v>
      </c>
      <c r="DV25" t="s">
        <v>71</v>
      </c>
      <c r="DW25" t="s">
        <v>69</v>
      </c>
      <c r="DX25">
        <v>75.066999999999993</v>
      </c>
      <c r="DY25" t="s">
        <v>69</v>
      </c>
      <c r="DZ25" t="s">
        <v>69</v>
      </c>
      <c r="EA25">
        <v>464</v>
      </c>
      <c r="EB25" t="s">
        <v>70</v>
      </c>
      <c r="EC25" t="s">
        <v>69</v>
      </c>
      <c r="ED25" t="s">
        <v>71</v>
      </c>
      <c r="EE25" t="s">
        <v>69</v>
      </c>
      <c r="EF25">
        <v>75.066999999999993</v>
      </c>
      <c r="EG25" t="s">
        <v>69</v>
      </c>
      <c r="EH25" t="s">
        <v>69</v>
      </c>
    </row>
    <row r="26" spans="1:138" x14ac:dyDescent="0.25">
      <c r="A26">
        <v>7</v>
      </c>
      <c r="B26" t="str">
        <f>HYPERLINK("http://www.ncbi.nlm.nih.gov/protein/XP_015846796.1","XP_015846796.1")</f>
        <v>XP_015846796.1</v>
      </c>
      <c r="C26">
        <v>54287</v>
      </c>
      <c r="D26" t="str">
        <f>HYPERLINK("http://www.ncbi.nlm.nih.gov/Taxonomy/Browser/wwwtax.cgi?mode=Info&amp;id=230844&amp;lvl=3&amp;lin=f&amp;keep=1&amp;srchmode=1&amp;unlock","230844")</f>
        <v>230844</v>
      </c>
      <c r="E26" t="s">
        <v>66</v>
      </c>
      <c r="F26" t="str">
        <f>HYPERLINK("http://www.ncbi.nlm.nih.gov/Taxonomy/Browser/wwwtax.cgi?mode=Info&amp;id=230844&amp;lvl=3&amp;lin=f&amp;keep=1&amp;srchmode=1&amp;unlock","Peromyscus maniculatus bairdii")</f>
        <v>Peromyscus maniculatus bairdii</v>
      </c>
      <c r="G26" t="s">
        <v>88</v>
      </c>
      <c r="H26" t="str">
        <f>HYPERLINK("http://www.ncbi.nlm.nih.gov/protein/XP_015846796.1","transmembrane protease serine 2")</f>
        <v>transmembrane protease serine 2</v>
      </c>
      <c r="I26" t="s">
        <v>269</v>
      </c>
      <c r="J26" t="s">
        <v>69</v>
      </c>
      <c r="K26">
        <v>298</v>
      </c>
      <c r="L26" t="s">
        <v>157</v>
      </c>
      <c r="M26" t="s">
        <v>69</v>
      </c>
      <c r="N26" t="s">
        <v>75</v>
      </c>
      <c r="O26" t="s">
        <v>69</v>
      </c>
      <c r="P26">
        <v>155.15600000000001</v>
      </c>
      <c r="Q26" t="s">
        <v>69</v>
      </c>
      <c r="R26" t="s">
        <v>69</v>
      </c>
      <c r="S26">
        <v>301</v>
      </c>
      <c r="T26" t="s">
        <v>119</v>
      </c>
      <c r="U26" t="s">
        <v>69</v>
      </c>
      <c r="V26" t="s">
        <v>120</v>
      </c>
      <c r="W26" t="s">
        <v>69</v>
      </c>
      <c r="X26">
        <v>147.131</v>
      </c>
      <c r="Y26" t="s">
        <v>69</v>
      </c>
      <c r="Z26" t="s">
        <v>69</v>
      </c>
      <c r="AA26">
        <v>340</v>
      </c>
      <c r="AB26" t="s">
        <v>156</v>
      </c>
      <c r="AC26" t="s">
        <v>69</v>
      </c>
      <c r="AD26" t="s">
        <v>120</v>
      </c>
      <c r="AE26" t="s">
        <v>69</v>
      </c>
      <c r="AF26">
        <v>133.10400000000001</v>
      </c>
      <c r="AG26" t="s">
        <v>69</v>
      </c>
      <c r="AH26" t="s">
        <v>69</v>
      </c>
      <c r="AI26">
        <v>342</v>
      </c>
      <c r="AJ26" t="s">
        <v>76</v>
      </c>
      <c r="AK26" t="s">
        <v>69</v>
      </c>
      <c r="AL26" t="s">
        <v>75</v>
      </c>
      <c r="AM26" t="s">
        <v>69</v>
      </c>
      <c r="AN26">
        <v>146.18899999999999</v>
      </c>
      <c r="AO26" t="s">
        <v>69</v>
      </c>
      <c r="AP26" t="s">
        <v>69</v>
      </c>
      <c r="AQ26">
        <v>343</v>
      </c>
      <c r="AR26" t="s">
        <v>149</v>
      </c>
      <c r="AS26" t="s">
        <v>69</v>
      </c>
      <c r="AT26" t="s">
        <v>150</v>
      </c>
      <c r="AU26" t="s">
        <v>69</v>
      </c>
      <c r="AV26">
        <v>119.119</v>
      </c>
      <c r="AW26" t="s">
        <v>69</v>
      </c>
      <c r="AX26" t="s">
        <v>69</v>
      </c>
      <c r="AY26">
        <v>344</v>
      </c>
      <c r="AZ26" t="s">
        <v>76</v>
      </c>
      <c r="BA26" t="s">
        <v>69</v>
      </c>
      <c r="BB26" t="s">
        <v>75</v>
      </c>
      <c r="BC26" t="s">
        <v>69</v>
      </c>
      <c r="BD26">
        <v>146.18899999999999</v>
      </c>
      <c r="BE26" t="s">
        <v>69</v>
      </c>
      <c r="BF26" t="s">
        <v>69</v>
      </c>
      <c r="BG26">
        <v>391</v>
      </c>
      <c r="BH26" t="s">
        <v>119</v>
      </c>
      <c r="BI26" t="s">
        <v>69</v>
      </c>
      <c r="BJ26" t="s">
        <v>120</v>
      </c>
      <c r="BK26" t="s">
        <v>69</v>
      </c>
      <c r="BL26">
        <v>147.131</v>
      </c>
      <c r="BM26" t="s">
        <v>69</v>
      </c>
      <c r="BN26" t="s">
        <v>69</v>
      </c>
      <c r="BO26">
        <v>393</v>
      </c>
      <c r="BP26" t="s">
        <v>70</v>
      </c>
      <c r="BQ26" t="s">
        <v>69</v>
      </c>
      <c r="BR26" t="s">
        <v>71</v>
      </c>
      <c r="BS26" t="s">
        <v>69</v>
      </c>
      <c r="BT26">
        <v>75.066999999999993</v>
      </c>
      <c r="BU26" t="s">
        <v>69</v>
      </c>
      <c r="BV26" t="s">
        <v>69</v>
      </c>
      <c r="BW26">
        <v>394</v>
      </c>
      <c r="BX26" t="s">
        <v>76</v>
      </c>
      <c r="BY26" t="s">
        <v>69</v>
      </c>
      <c r="BZ26" t="s">
        <v>75</v>
      </c>
      <c r="CA26" t="s">
        <v>69</v>
      </c>
      <c r="CB26">
        <v>146.18899999999999</v>
      </c>
      <c r="CC26" t="s">
        <v>69</v>
      </c>
      <c r="CD26" t="s">
        <v>69</v>
      </c>
      <c r="CE26">
        <v>438</v>
      </c>
      <c r="CF26" t="s">
        <v>155</v>
      </c>
      <c r="CG26" t="s">
        <v>69</v>
      </c>
      <c r="CH26" t="s">
        <v>150</v>
      </c>
      <c r="CI26" t="s">
        <v>69</v>
      </c>
      <c r="CJ26">
        <v>105.093</v>
      </c>
      <c r="CK26" t="s">
        <v>69</v>
      </c>
      <c r="CL26" t="s">
        <v>69</v>
      </c>
      <c r="CM26">
        <v>440</v>
      </c>
      <c r="CN26" t="s">
        <v>147</v>
      </c>
      <c r="CO26" t="s">
        <v>69</v>
      </c>
      <c r="CP26" t="s">
        <v>148</v>
      </c>
      <c r="CQ26" t="s">
        <v>69</v>
      </c>
      <c r="CR26">
        <v>146.14599999999999</v>
      </c>
      <c r="CS26" t="s">
        <v>69</v>
      </c>
      <c r="CT26" t="s">
        <v>69</v>
      </c>
      <c r="CU26">
        <v>441</v>
      </c>
      <c r="CV26" t="s">
        <v>70</v>
      </c>
      <c r="CW26" t="s">
        <v>69</v>
      </c>
      <c r="CX26" t="s">
        <v>71</v>
      </c>
      <c r="CY26" t="s">
        <v>69</v>
      </c>
      <c r="CZ26">
        <v>75.066999999999993</v>
      </c>
      <c r="DA26" t="s">
        <v>69</v>
      </c>
      <c r="DB26" t="s">
        <v>69</v>
      </c>
      <c r="DC26">
        <v>443</v>
      </c>
      <c r="DD26" t="s">
        <v>155</v>
      </c>
      <c r="DE26" t="s">
        <v>69</v>
      </c>
      <c r="DF26" t="s">
        <v>150</v>
      </c>
      <c r="DG26" t="s">
        <v>69</v>
      </c>
      <c r="DH26">
        <v>105.093</v>
      </c>
      <c r="DI26" t="s">
        <v>69</v>
      </c>
      <c r="DJ26" t="s">
        <v>69</v>
      </c>
      <c r="DK26">
        <v>462</v>
      </c>
      <c r="DL26" t="s">
        <v>155</v>
      </c>
      <c r="DM26" t="s">
        <v>69</v>
      </c>
      <c r="DN26" t="s">
        <v>150</v>
      </c>
      <c r="DO26" t="s">
        <v>69</v>
      </c>
      <c r="DP26">
        <v>105.093</v>
      </c>
      <c r="DQ26" t="s">
        <v>69</v>
      </c>
      <c r="DR26" t="s">
        <v>69</v>
      </c>
      <c r="DS26">
        <v>464</v>
      </c>
      <c r="DT26" t="s">
        <v>70</v>
      </c>
      <c r="DU26" t="s">
        <v>69</v>
      </c>
      <c r="DV26" t="s">
        <v>71</v>
      </c>
      <c r="DW26" t="s">
        <v>69</v>
      </c>
      <c r="DX26">
        <v>75.066999999999993</v>
      </c>
      <c r="DY26" t="s">
        <v>69</v>
      </c>
      <c r="DZ26" t="s">
        <v>69</v>
      </c>
      <c r="EA26">
        <v>466</v>
      </c>
      <c r="EB26" t="s">
        <v>70</v>
      </c>
      <c r="EC26" t="s">
        <v>69</v>
      </c>
      <c r="ED26" t="s">
        <v>71</v>
      </c>
      <c r="EE26" t="s">
        <v>69</v>
      </c>
      <c r="EF26">
        <v>75.066999999999993</v>
      </c>
      <c r="EG26" t="s">
        <v>69</v>
      </c>
      <c r="EH26" t="s">
        <v>69</v>
      </c>
    </row>
    <row r="27" spans="1:138" x14ac:dyDescent="0.25">
      <c r="A27">
        <v>7</v>
      </c>
      <c r="B27" t="str">
        <f>HYPERLINK("http://www.ncbi.nlm.nih.gov/protein/XP_015990074.2","XP_015990074.2")</f>
        <v>XP_015990074.2</v>
      </c>
      <c r="C27">
        <v>117142</v>
      </c>
      <c r="D27" t="str">
        <f>HYPERLINK("http://www.ncbi.nlm.nih.gov/Taxonomy/Browser/wwwtax.cgi?mode=Info&amp;id=9407&amp;lvl=3&amp;lin=f&amp;keep=1&amp;srchmode=1&amp;unlock","9407")</f>
        <v>9407</v>
      </c>
      <c r="E27" t="s">
        <v>66</v>
      </c>
      <c r="F27" t="str">
        <f>HYPERLINK("http://www.ncbi.nlm.nih.gov/Taxonomy/Browser/wwwtax.cgi?mode=Info&amp;id=9407&amp;lvl=3&amp;lin=f&amp;keep=1&amp;srchmode=1&amp;unlock","Rousettus aegyptiacus")</f>
        <v>Rousettus aegyptiacus</v>
      </c>
      <c r="G27" t="s">
        <v>103</v>
      </c>
      <c r="H27" t="str">
        <f>HYPERLINK("http://www.ncbi.nlm.nih.gov/protein/XP_015990074.2","transmembrane protease serine 2")</f>
        <v>transmembrane protease serine 2</v>
      </c>
      <c r="I27" t="s">
        <v>269</v>
      </c>
      <c r="J27" t="s">
        <v>69</v>
      </c>
      <c r="K27">
        <v>299</v>
      </c>
      <c r="L27" t="s">
        <v>157</v>
      </c>
      <c r="M27" t="s">
        <v>69</v>
      </c>
      <c r="N27" t="s">
        <v>75</v>
      </c>
      <c r="O27" t="s">
        <v>69</v>
      </c>
      <c r="P27">
        <v>155.15600000000001</v>
      </c>
      <c r="Q27" t="s">
        <v>69</v>
      </c>
      <c r="R27" t="s">
        <v>69</v>
      </c>
      <c r="S27">
        <v>302</v>
      </c>
      <c r="T27" t="s">
        <v>119</v>
      </c>
      <c r="U27" t="s">
        <v>69</v>
      </c>
      <c r="V27" t="s">
        <v>120</v>
      </c>
      <c r="W27" t="s">
        <v>69</v>
      </c>
      <c r="X27">
        <v>147.131</v>
      </c>
      <c r="Y27" t="s">
        <v>69</v>
      </c>
      <c r="Z27" t="s">
        <v>69</v>
      </c>
      <c r="AA27">
        <v>341</v>
      </c>
      <c r="AB27" t="s">
        <v>156</v>
      </c>
      <c r="AC27" t="s">
        <v>69</v>
      </c>
      <c r="AD27" t="s">
        <v>120</v>
      </c>
      <c r="AE27" t="s">
        <v>69</v>
      </c>
      <c r="AF27">
        <v>133.10400000000001</v>
      </c>
      <c r="AG27" t="s">
        <v>69</v>
      </c>
      <c r="AH27" t="s">
        <v>69</v>
      </c>
      <c r="AI27">
        <v>343</v>
      </c>
      <c r="AJ27" t="s">
        <v>76</v>
      </c>
      <c r="AK27" t="s">
        <v>69</v>
      </c>
      <c r="AL27" t="s">
        <v>75</v>
      </c>
      <c r="AM27" t="s">
        <v>69</v>
      </c>
      <c r="AN27">
        <v>146.18899999999999</v>
      </c>
      <c r="AO27" t="s">
        <v>69</v>
      </c>
      <c r="AP27" t="s">
        <v>69</v>
      </c>
      <c r="AQ27">
        <v>344</v>
      </c>
      <c r="AR27" t="s">
        <v>149</v>
      </c>
      <c r="AS27" t="s">
        <v>69</v>
      </c>
      <c r="AT27" t="s">
        <v>150</v>
      </c>
      <c r="AU27" t="s">
        <v>69</v>
      </c>
      <c r="AV27">
        <v>119.119</v>
      </c>
      <c r="AW27" t="s">
        <v>69</v>
      </c>
      <c r="AX27" t="s">
        <v>69</v>
      </c>
      <c r="AY27">
        <v>345</v>
      </c>
      <c r="AZ27" t="s">
        <v>76</v>
      </c>
      <c r="BA27" t="s">
        <v>69</v>
      </c>
      <c r="BB27" t="s">
        <v>75</v>
      </c>
      <c r="BC27" t="s">
        <v>69</v>
      </c>
      <c r="BD27">
        <v>146.18899999999999</v>
      </c>
      <c r="BE27" t="s">
        <v>69</v>
      </c>
      <c r="BF27" t="s">
        <v>69</v>
      </c>
      <c r="BG27">
        <v>392</v>
      </c>
      <c r="BH27" t="s">
        <v>119</v>
      </c>
      <c r="BI27" t="s">
        <v>69</v>
      </c>
      <c r="BJ27" t="s">
        <v>120</v>
      </c>
      <c r="BK27" t="s">
        <v>69</v>
      </c>
      <c r="BL27">
        <v>147.131</v>
      </c>
      <c r="BM27" t="s">
        <v>69</v>
      </c>
      <c r="BN27" t="s">
        <v>69</v>
      </c>
      <c r="BO27">
        <v>394</v>
      </c>
      <c r="BP27" t="s">
        <v>70</v>
      </c>
      <c r="BQ27" t="s">
        <v>69</v>
      </c>
      <c r="BR27" t="s">
        <v>71</v>
      </c>
      <c r="BS27" t="s">
        <v>69</v>
      </c>
      <c r="BT27">
        <v>75.066999999999993</v>
      </c>
      <c r="BU27" t="s">
        <v>69</v>
      </c>
      <c r="BV27" t="s">
        <v>69</v>
      </c>
      <c r="BW27">
        <v>395</v>
      </c>
      <c r="BX27" t="s">
        <v>76</v>
      </c>
      <c r="BY27" t="s">
        <v>69</v>
      </c>
      <c r="BZ27" t="s">
        <v>75</v>
      </c>
      <c r="CA27" t="s">
        <v>69</v>
      </c>
      <c r="CB27">
        <v>146.18899999999999</v>
      </c>
      <c r="CC27" t="s">
        <v>69</v>
      </c>
      <c r="CD27" t="s">
        <v>69</v>
      </c>
      <c r="CE27">
        <v>439</v>
      </c>
      <c r="CF27" t="s">
        <v>155</v>
      </c>
      <c r="CG27" t="s">
        <v>69</v>
      </c>
      <c r="CH27" t="s">
        <v>150</v>
      </c>
      <c r="CI27" t="s">
        <v>69</v>
      </c>
      <c r="CJ27">
        <v>105.093</v>
      </c>
      <c r="CK27" t="s">
        <v>69</v>
      </c>
      <c r="CL27" t="s">
        <v>69</v>
      </c>
      <c r="CM27">
        <v>441</v>
      </c>
      <c r="CN27" t="s">
        <v>147</v>
      </c>
      <c r="CO27" t="s">
        <v>69</v>
      </c>
      <c r="CP27" t="s">
        <v>148</v>
      </c>
      <c r="CQ27" t="s">
        <v>69</v>
      </c>
      <c r="CR27">
        <v>146.14599999999999</v>
      </c>
      <c r="CS27" t="s">
        <v>69</v>
      </c>
      <c r="CT27" t="s">
        <v>69</v>
      </c>
      <c r="CU27">
        <v>442</v>
      </c>
      <c r="CV27" t="s">
        <v>70</v>
      </c>
      <c r="CW27" t="s">
        <v>69</v>
      </c>
      <c r="CX27" t="s">
        <v>71</v>
      </c>
      <c r="CY27" t="s">
        <v>69</v>
      </c>
      <c r="CZ27">
        <v>75.066999999999993</v>
      </c>
      <c r="DA27" t="s">
        <v>69</v>
      </c>
      <c r="DB27" t="s">
        <v>69</v>
      </c>
      <c r="DC27">
        <v>444</v>
      </c>
      <c r="DD27" t="s">
        <v>155</v>
      </c>
      <c r="DE27" t="s">
        <v>69</v>
      </c>
      <c r="DF27" t="s">
        <v>150</v>
      </c>
      <c r="DG27" t="s">
        <v>69</v>
      </c>
      <c r="DH27">
        <v>105.093</v>
      </c>
      <c r="DI27" t="s">
        <v>69</v>
      </c>
      <c r="DJ27" t="s">
        <v>69</v>
      </c>
      <c r="DK27">
        <v>463</v>
      </c>
      <c r="DL27" t="s">
        <v>155</v>
      </c>
      <c r="DM27" t="s">
        <v>69</v>
      </c>
      <c r="DN27" t="s">
        <v>150</v>
      </c>
      <c r="DO27" t="s">
        <v>69</v>
      </c>
      <c r="DP27">
        <v>105.093</v>
      </c>
      <c r="DQ27" t="s">
        <v>69</v>
      </c>
      <c r="DR27" t="s">
        <v>69</v>
      </c>
      <c r="DS27">
        <v>465</v>
      </c>
      <c r="DT27" t="s">
        <v>70</v>
      </c>
      <c r="DU27" t="s">
        <v>69</v>
      </c>
      <c r="DV27" t="s">
        <v>71</v>
      </c>
      <c r="DW27" t="s">
        <v>69</v>
      </c>
      <c r="DX27">
        <v>75.066999999999993</v>
      </c>
      <c r="DY27" t="s">
        <v>69</v>
      </c>
      <c r="DZ27" t="s">
        <v>69</v>
      </c>
      <c r="EA27">
        <v>467</v>
      </c>
      <c r="EB27" t="s">
        <v>70</v>
      </c>
      <c r="EC27" t="s">
        <v>69</v>
      </c>
      <c r="ED27" t="s">
        <v>71</v>
      </c>
      <c r="EE27" t="s">
        <v>69</v>
      </c>
      <c r="EF27">
        <v>75.066999999999993</v>
      </c>
      <c r="EG27" t="s">
        <v>69</v>
      </c>
      <c r="EH27" t="s">
        <v>69</v>
      </c>
    </row>
    <row r="28" spans="1:138" x14ac:dyDescent="0.25">
      <c r="A28">
        <v>7</v>
      </c>
      <c r="B28" t="str">
        <f>HYPERLINK("http://www.ncbi.nlm.nih.gov/protein/XP_012971684.1","XP_012971684.1")</f>
        <v>XP_012971684.1</v>
      </c>
      <c r="C28">
        <v>54410</v>
      </c>
      <c r="D28" t="str">
        <f>HYPERLINK("http://www.ncbi.nlm.nih.gov/Taxonomy/Browser/wwwtax.cgi?mode=Info&amp;id=10036&amp;lvl=3&amp;lin=f&amp;keep=1&amp;srchmode=1&amp;unlock","10036")</f>
        <v>10036</v>
      </c>
      <c r="E28" t="s">
        <v>66</v>
      </c>
      <c r="F28" t="str">
        <f>HYPERLINK("http://www.ncbi.nlm.nih.gov/Taxonomy/Browser/wwwtax.cgi?mode=Info&amp;id=10036&amp;lvl=3&amp;lin=f&amp;keep=1&amp;srchmode=1&amp;unlock","Mesocricetus auratus")</f>
        <v>Mesocricetus auratus</v>
      </c>
      <c r="G28" t="s">
        <v>87</v>
      </c>
      <c r="H28" t="str">
        <f>HYPERLINK("http://www.ncbi.nlm.nih.gov/protein/XP_012971684.1","transmembrane protease serine 2 isoform X4")</f>
        <v>transmembrane protease serine 2 isoform X4</v>
      </c>
      <c r="I28" t="s">
        <v>269</v>
      </c>
      <c r="J28" t="s">
        <v>69</v>
      </c>
      <c r="K28">
        <v>295</v>
      </c>
      <c r="L28" t="s">
        <v>157</v>
      </c>
      <c r="M28" t="s">
        <v>69</v>
      </c>
      <c r="N28" t="s">
        <v>75</v>
      </c>
      <c r="O28" t="s">
        <v>69</v>
      </c>
      <c r="P28">
        <v>155.15600000000001</v>
      </c>
      <c r="Q28" t="s">
        <v>69</v>
      </c>
      <c r="R28" t="s">
        <v>69</v>
      </c>
      <c r="S28">
        <v>298</v>
      </c>
      <c r="T28" t="s">
        <v>119</v>
      </c>
      <c r="U28" t="s">
        <v>69</v>
      </c>
      <c r="V28" t="s">
        <v>120</v>
      </c>
      <c r="W28" t="s">
        <v>69</v>
      </c>
      <c r="X28">
        <v>147.131</v>
      </c>
      <c r="Y28" t="s">
        <v>69</v>
      </c>
      <c r="Z28" t="s">
        <v>69</v>
      </c>
      <c r="AA28">
        <v>337</v>
      </c>
      <c r="AB28" t="s">
        <v>153</v>
      </c>
      <c r="AC28" t="s">
        <v>153</v>
      </c>
      <c r="AD28" t="s">
        <v>148</v>
      </c>
      <c r="AE28" t="s">
        <v>153</v>
      </c>
      <c r="AF28">
        <v>132.119</v>
      </c>
      <c r="AG28" t="s">
        <v>69</v>
      </c>
      <c r="AH28" t="s">
        <v>69</v>
      </c>
      <c r="AI28">
        <v>339</v>
      </c>
      <c r="AJ28" t="s">
        <v>119</v>
      </c>
      <c r="AK28" t="s">
        <v>153</v>
      </c>
      <c r="AL28" t="s">
        <v>120</v>
      </c>
      <c r="AM28" t="s">
        <v>153</v>
      </c>
      <c r="AN28">
        <v>147.131</v>
      </c>
      <c r="AO28" t="s">
        <v>69</v>
      </c>
      <c r="AP28" t="s">
        <v>69</v>
      </c>
      <c r="AQ28">
        <v>340</v>
      </c>
      <c r="AR28" t="s">
        <v>149</v>
      </c>
      <c r="AS28" t="s">
        <v>69</v>
      </c>
      <c r="AT28" t="s">
        <v>150</v>
      </c>
      <c r="AU28" t="s">
        <v>69</v>
      </c>
      <c r="AV28">
        <v>119.119</v>
      </c>
      <c r="AW28" t="s">
        <v>69</v>
      </c>
      <c r="AX28" t="s">
        <v>69</v>
      </c>
      <c r="AY28">
        <v>341</v>
      </c>
      <c r="AZ28" t="s">
        <v>76</v>
      </c>
      <c r="BA28" t="s">
        <v>69</v>
      </c>
      <c r="BB28" t="s">
        <v>75</v>
      </c>
      <c r="BC28" t="s">
        <v>69</v>
      </c>
      <c r="BD28">
        <v>146.18899999999999</v>
      </c>
      <c r="BE28" t="s">
        <v>69</v>
      </c>
      <c r="BF28" t="s">
        <v>69</v>
      </c>
      <c r="BG28">
        <v>388</v>
      </c>
      <c r="BH28" t="s">
        <v>119</v>
      </c>
      <c r="BI28" t="s">
        <v>69</v>
      </c>
      <c r="BJ28" t="s">
        <v>120</v>
      </c>
      <c r="BK28" t="s">
        <v>69</v>
      </c>
      <c r="BL28">
        <v>147.131</v>
      </c>
      <c r="BM28" t="s">
        <v>69</v>
      </c>
      <c r="BN28" t="s">
        <v>69</v>
      </c>
      <c r="BO28">
        <v>390</v>
      </c>
      <c r="BP28" t="s">
        <v>70</v>
      </c>
      <c r="BQ28" t="s">
        <v>69</v>
      </c>
      <c r="BR28" t="s">
        <v>71</v>
      </c>
      <c r="BS28" t="s">
        <v>69</v>
      </c>
      <c r="BT28">
        <v>75.066999999999993</v>
      </c>
      <c r="BU28" t="s">
        <v>69</v>
      </c>
      <c r="BV28" t="s">
        <v>69</v>
      </c>
      <c r="BW28">
        <v>391</v>
      </c>
      <c r="BX28" t="s">
        <v>76</v>
      </c>
      <c r="BY28" t="s">
        <v>69</v>
      </c>
      <c r="BZ28" t="s">
        <v>75</v>
      </c>
      <c r="CA28" t="s">
        <v>69</v>
      </c>
      <c r="CB28">
        <v>146.18899999999999</v>
      </c>
      <c r="CC28" t="s">
        <v>69</v>
      </c>
      <c r="CD28" t="s">
        <v>69</v>
      </c>
      <c r="CE28">
        <v>435</v>
      </c>
      <c r="CF28" t="s">
        <v>155</v>
      </c>
      <c r="CG28" t="s">
        <v>69</v>
      </c>
      <c r="CH28" t="s">
        <v>150</v>
      </c>
      <c r="CI28" t="s">
        <v>69</v>
      </c>
      <c r="CJ28">
        <v>105.093</v>
      </c>
      <c r="CK28" t="s">
        <v>69</v>
      </c>
      <c r="CL28" t="s">
        <v>69</v>
      </c>
      <c r="CM28">
        <v>437</v>
      </c>
      <c r="CN28" t="s">
        <v>147</v>
      </c>
      <c r="CO28" t="s">
        <v>69</v>
      </c>
      <c r="CP28" t="s">
        <v>148</v>
      </c>
      <c r="CQ28" t="s">
        <v>69</v>
      </c>
      <c r="CR28">
        <v>146.14599999999999</v>
      </c>
      <c r="CS28" t="s">
        <v>69</v>
      </c>
      <c r="CT28" t="s">
        <v>69</v>
      </c>
      <c r="CU28">
        <v>438</v>
      </c>
      <c r="CV28" t="s">
        <v>70</v>
      </c>
      <c r="CW28" t="s">
        <v>69</v>
      </c>
      <c r="CX28" t="s">
        <v>71</v>
      </c>
      <c r="CY28" t="s">
        <v>69</v>
      </c>
      <c r="CZ28">
        <v>75.066999999999993</v>
      </c>
      <c r="DA28" t="s">
        <v>69</v>
      </c>
      <c r="DB28" t="s">
        <v>69</v>
      </c>
      <c r="DC28">
        <v>440</v>
      </c>
      <c r="DD28" t="s">
        <v>155</v>
      </c>
      <c r="DE28" t="s">
        <v>69</v>
      </c>
      <c r="DF28" t="s">
        <v>150</v>
      </c>
      <c r="DG28" t="s">
        <v>69</v>
      </c>
      <c r="DH28">
        <v>105.093</v>
      </c>
      <c r="DI28" t="s">
        <v>69</v>
      </c>
      <c r="DJ28" t="s">
        <v>69</v>
      </c>
      <c r="DK28">
        <v>459</v>
      </c>
      <c r="DL28" t="s">
        <v>155</v>
      </c>
      <c r="DM28" t="s">
        <v>69</v>
      </c>
      <c r="DN28" t="s">
        <v>150</v>
      </c>
      <c r="DO28" t="s">
        <v>69</v>
      </c>
      <c r="DP28">
        <v>105.093</v>
      </c>
      <c r="DQ28" t="s">
        <v>69</v>
      </c>
      <c r="DR28" t="s">
        <v>69</v>
      </c>
      <c r="DS28">
        <v>461</v>
      </c>
      <c r="DT28" t="s">
        <v>70</v>
      </c>
      <c r="DU28" t="s">
        <v>69</v>
      </c>
      <c r="DV28" t="s">
        <v>71</v>
      </c>
      <c r="DW28" t="s">
        <v>69</v>
      </c>
      <c r="DX28">
        <v>75.066999999999993</v>
      </c>
      <c r="DY28" t="s">
        <v>69</v>
      </c>
      <c r="DZ28" t="s">
        <v>69</v>
      </c>
      <c r="EA28">
        <v>463</v>
      </c>
      <c r="EB28" t="s">
        <v>70</v>
      </c>
      <c r="EC28" t="s">
        <v>69</v>
      </c>
      <c r="ED28" t="s">
        <v>71</v>
      </c>
      <c r="EE28" t="s">
        <v>69</v>
      </c>
      <c r="EF28">
        <v>75.066999999999993</v>
      </c>
      <c r="EG28" t="s">
        <v>69</v>
      </c>
      <c r="EH28" t="s">
        <v>69</v>
      </c>
    </row>
    <row r="29" spans="1:138" x14ac:dyDescent="0.25">
      <c r="A29">
        <v>7</v>
      </c>
      <c r="B29" t="str">
        <f>HYPERLINK("http://www.ncbi.nlm.nih.gov/protein/XP_006033649.1","XP_006033649.1")</f>
        <v>XP_006033649.1</v>
      </c>
      <c r="C29">
        <v>43404</v>
      </c>
      <c r="D29" t="str">
        <f>HYPERLINK("http://www.ncbi.nlm.nih.gov/Taxonomy/Browser/wwwtax.cgi?mode=Info&amp;id=38654&amp;lvl=3&amp;lin=f&amp;keep=1&amp;srchmode=1&amp;unlock","38654")</f>
        <v>38654</v>
      </c>
      <c r="E29" t="s">
        <v>109</v>
      </c>
      <c r="F29" t="str">
        <f>HYPERLINK("http://www.ncbi.nlm.nih.gov/Taxonomy/Browser/wwwtax.cgi?mode=Info&amp;id=38654&amp;lvl=3&amp;lin=f&amp;keep=1&amp;srchmode=1&amp;unlock","Alligator sinensis")</f>
        <v>Alligator sinensis</v>
      </c>
      <c r="G29" t="s">
        <v>110</v>
      </c>
      <c r="H29" t="str">
        <f>HYPERLINK("http://www.ncbi.nlm.nih.gov/protein/XP_006033649.1","transmembrane protease serine 2 isoform X2")</f>
        <v>transmembrane protease serine 2 isoform X2</v>
      </c>
      <c r="I29" t="s">
        <v>269</v>
      </c>
      <c r="J29" t="s">
        <v>69</v>
      </c>
      <c r="K29">
        <v>293</v>
      </c>
      <c r="L29" t="s">
        <v>157</v>
      </c>
      <c r="M29" t="s">
        <v>69</v>
      </c>
      <c r="N29" t="s">
        <v>75</v>
      </c>
      <c r="O29" t="s">
        <v>69</v>
      </c>
      <c r="P29">
        <v>155.15600000000001</v>
      </c>
      <c r="Q29" t="s">
        <v>69</v>
      </c>
      <c r="R29" t="s">
        <v>69</v>
      </c>
      <c r="S29">
        <v>296</v>
      </c>
      <c r="T29" t="s">
        <v>119</v>
      </c>
      <c r="U29" t="s">
        <v>69</v>
      </c>
      <c r="V29" t="s">
        <v>120</v>
      </c>
      <c r="W29" t="s">
        <v>69</v>
      </c>
      <c r="X29">
        <v>147.131</v>
      </c>
      <c r="Y29" t="s">
        <v>69</v>
      </c>
      <c r="Z29" t="s">
        <v>69</v>
      </c>
      <c r="AA29">
        <v>335</v>
      </c>
      <c r="AB29" t="s">
        <v>153</v>
      </c>
      <c r="AC29" t="s">
        <v>153</v>
      </c>
      <c r="AD29" t="s">
        <v>148</v>
      </c>
      <c r="AE29" t="s">
        <v>153</v>
      </c>
      <c r="AF29">
        <v>132.119</v>
      </c>
      <c r="AG29" t="s">
        <v>69</v>
      </c>
      <c r="AH29" t="s">
        <v>69</v>
      </c>
      <c r="AI29">
        <v>337</v>
      </c>
      <c r="AJ29" t="s">
        <v>119</v>
      </c>
      <c r="AK29" t="s">
        <v>153</v>
      </c>
      <c r="AL29" t="s">
        <v>120</v>
      </c>
      <c r="AM29" t="s">
        <v>153</v>
      </c>
      <c r="AN29">
        <v>147.131</v>
      </c>
      <c r="AO29" t="s">
        <v>69</v>
      </c>
      <c r="AP29" t="s">
        <v>69</v>
      </c>
      <c r="AQ29">
        <v>338</v>
      </c>
      <c r="AR29" t="s">
        <v>149</v>
      </c>
      <c r="AS29" t="s">
        <v>69</v>
      </c>
      <c r="AT29" t="s">
        <v>150</v>
      </c>
      <c r="AU29" t="s">
        <v>69</v>
      </c>
      <c r="AV29">
        <v>119.119</v>
      </c>
      <c r="AW29" t="s">
        <v>69</v>
      </c>
      <c r="AX29" t="s">
        <v>69</v>
      </c>
      <c r="AY29">
        <v>339</v>
      </c>
      <c r="AZ29" t="s">
        <v>76</v>
      </c>
      <c r="BA29" t="s">
        <v>69</v>
      </c>
      <c r="BB29" t="s">
        <v>75</v>
      </c>
      <c r="BC29" t="s">
        <v>69</v>
      </c>
      <c r="BD29">
        <v>146.18899999999999</v>
      </c>
      <c r="BE29" t="s">
        <v>69</v>
      </c>
      <c r="BF29" t="s">
        <v>69</v>
      </c>
      <c r="BG29">
        <v>386</v>
      </c>
      <c r="BH29" t="s">
        <v>147</v>
      </c>
      <c r="BI29" t="s">
        <v>153</v>
      </c>
      <c r="BJ29" t="s">
        <v>148</v>
      </c>
      <c r="BK29" t="s">
        <v>153</v>
      </c>
      <c r="BL29">
        <v>146.14599999999999</v>
      </c>
      <c r="BM29" t="s">
        <v>69</v>
      </c>
      <c r="BN29" t="s">
        <v>69</v>
      </c>
      <c r="BO29">
        <v>388</v>
      </c>
      <c r="BP29" t="s">
        <v>70</v>
      </c>
      <c r="BQ29" t="s">
        <v>69</v>
      </c>
      <c r="BR29" t="s">
        <v>71</v>
      </c>
      <c r="BS29" t="s">
        <v>69</v>
      </c>
      <c r="BT29">
        <v>75.066999999999993</v>
      </c>
      <c r="BU29" t="s">
        <v>69</v>
      </c>
      <c r="BV29" t="s">
        <v>69</v>
      </c>
      <c r="BW29">
        <v>389</v>
      </c>
      <c r="BX29" t="s">
        <v>76</v>
      </c>
      <c r="BY29" t="s">
        <v>69</v>
      </c>
      <c r="BZ29" t="s">
        <v>75</v>
      </c>
      <c r="CA29" t="s">
        <v>69</v>
      </c>
      <c r="CB29">
        <v>146.18899999999999</v>
      </c>
      <c r="CC29" t="s">
        <v>69</v>
      </c>
      <c r="CD29" t="s">
        <v>69</v>
      </c>
      <c r="CE29">
        <v>433</v>
      </c>
      <c r="CF29" t="s">
        <v>155</v>
      </c>
      <c r="CG29" t="s">
        <v>69</v>
      </c>
      <c r="CH29" t="s">
        <v>150</v>
      </c>
      <c r="CI29" t="s">
        <v>69</v>
      </c>
      <c r="CJ29">
        <v>105.093</v>
      </c>
      <c r="CK29" t="s">
        <v>69</v>
      </c>
      <c r="CL29" t="s">
        <v>69</v>
      </c>
      <c r="CM29">
        <v>435</v>
      </c>
      <c r="CN29" t="s">
        <v>147</v>
      </c>
      <c r="CO29" t="s">
        <v>69</v>
      </c>
      <c r="CP29" t="s">
        <v>148</v>
      </c>
      <c r="CQ29" t="s">
        <v>69</v>
      </c>
      <c r="CR29">
        <v>146.14599999999999</v>
      </c>
      <c r="CS29" t="s">
        <v>69</v>
      </c>
      <c r="CT29" t="s">
        <v>69</v>
      </c>
      <c r="CU29">
        <v>436</v>
      </c>
      <c r="CV29" t="s">
        <v>70</v>
      </c>
      <c r="CW29" t="s">
        <v>69</v>
      </c>
      <c r="CX29" t="s">
        <v>71</v>
      </c>
      <c r="CY29" t="s">
        <v>69</v>
      </c>
      <c r="CZ29">
        <v>75.066999999999993</v>
      </c>
      <c r="DA29" t="s">
        <v>69</v>
      </c>
      <c r="DB29" t="s">
        <v>69</v>
      </c>
      <c r="DC29">
        <v>438</v>
      </c>
      <c r="DD29" t="s">
        <v>155</v>
      </c>
      <c r="DE29" t="s">
        <v>69</v>
      </c>
      <c r="DF29" t="s">
        <v>150</v>
      </c>
      <c r="DG29" t="s">
        <v>69</v>
      </c>
      <c r="DH29">
        <v>105.093</v>
      </c>
      <c r="DI29" t="s">
        <v>69</v>
      </c>
      <c r="DJ29" t="s">
        <v>69</v>
      </c>
      <c r="DK29">
        <v>457</v>
      </c>
      <c r="DL29" t="s">
        <v>155</v>
      </c>
      <c r="DM29" t="s">
        <v>69</v>
      </c>
      <c r="DN29" t="s">
        <v>150</v>
      </c>
      <c r="DO29" t="s">
        <v>69</v>
      </c>
      <c r="DP29">
        <v>105.093</v>
      </c>
      <c r="DQ29" t="s">
        <v>69</v>
      </c>
      <c r="DR29" t="s">
        <v>69</v>
      </c>
      <c r="DS29">
        <v>459</v>
      </c>
      <c r="DT29" t="s">
        <v>70</v>
      </c>
      <c r="DU29" t="s">
        <v>69</v>
      </c>
      <c r="DV29" t="s">
        <v>71</v>
      </c>
      <c r="DW29" t="s">
        <v>69</v>
      </c>
      <c r="DX29">
        <v>75.066999999999993</v>
      </c>
      <c r="DY29" t="s">
        <v>69</v>
      </c>
      <c r="DZ29" t="s">
        <v>69</v>
      </c>
      <c r="EA29">
        <v>461</v>
      </c>
      <c r="EB29" t="s">
        <v>70</v>
      </c>
      <c r="EC29" t="s">
        <v>69</v>
      </c>
      <c r="ED29" t="s">
        <v>71</v>
      </c>
      <c r="EE29" t="s">
        <v>69</v>
      </c>
      <c r="EF29">
        <v>75.066999999999993</v>
      </c>
      <c r="EG29" t="s">
        <v>69</v>
      </c>
      <c r="EH29" t="s">
        <v>69</v>
      </c>
    </row>
    <row r="30" spans="1:138" x14ac:dyDescent="0.25">
      <c r="A30">
        <v>7</v>
      </c>
      <c r="B30" t="str">
        <f>HYPERLINK("http://www.ncbi.nlm.nih.gov/protein/XP_021138261.1","XP_021138261.1")</f>
        <v>XP_021138261.1</v>
      </c>
      <c r="C30">
        <v>50957</v>
      </c>
      <c r="D30" t="str">
        <f>HYPERLINK("http://www.ncbi.nlm.nih.gov/Taxonomy/Browser/wwwtax.cgi?mode=Info&amp;id=8932&amp;lvl=3&amp;lin=f&amp;keep=1&amp;srchmode=1&amp;unlock","8932")</f>
        <v>8932</v>
      </c>
      <c r="E30" t="s">
        <v>107</v>
      </c>
      <c r="F30" t="str">
        <f>HYPERLINK("http://www.ncbi.nlm.nih.gov/Taxonomy/Browser/wwwtax.cgi?mode=Info&amp;id=8932&amp;lvl=3&amp;lin=f&amp;keep=1&amp;srchmode=1&amp;unlock","Columba livia")</f>
        <v>Columba livia</v>
      </c>
      <c r="G30" t="s">
        <v>108</v>
      </c>
      <c r="H30" t="str">
        <f>HYPERLINK("http://www.ncbi.nlm.nih.gov/protein/XP_021138261.1","transmembrane protease serine 2")</f>
        <v>transmembrane protease serine 2</v>
      </c>
      <c r="I30" t="s">
        <v>269</v>
      </c>
      <c r="J30" t="s">
        <v>69</v>
      </c>
      <c r="K30">
        <v>288</v>
      </c>
      <c r="L30" t="s">
        <v>157</v>
      </c>
      <c r="M30" t="s">
        <v>69</v>
      </c>
      <c r="N30" t="s">
        <v>75</v>
      </c>
      <c r="O30" t="s">
        <v>69</v>
      </c>
      <c r="P30">
        <v>155.15600000000001</v>
      </c>
      <c r="Q30" t="s">
        <v>69</v>
      </c>
      <c r="R30" t="s">
        <v>69</v>
      </c>
      <c r="S30">
        <v>291</v>
      </c>
      <c r="T30" t="s">
        <v>119</v>
      </c>
      <c r="U30" t="s">
        <v>69</v>
      </c>
      <c r="V30" t="s">
        <v>120</v>
      </c>
      <c r="W30" t="s">
        <v>69</v>
      </c>
      <c r="X30">
        <v>147.131</v>
      </c>
      <c r="Y30" t="s">
        <v>69</v>
      </c>
      <c r="Z30" t="s">
        <v>69</v>
      </c>
      <c r="AA30">
        <v>330</v>
      </c>
      <c r="AB30" t="s">
        <v>156</v>
      </c>
      <c r="AC30" t="s">
        <v>69</v>
      </c>
      <c r="AD30" t="s">
        <v>120</v>
      </c>
      <c r="AE30" t="s">
        <v>69</v>
      </c>
      <c r="AF30">
        <v>133.10400000000001</v>
      </c>
      <c r="AG30" t="s">
        <v>69</v>
      </c>
      <c r="AH30" t="s">
        <v>69</v>
      </c>
      <c r="AI30">
        <v>332</v>
      </c>
      <c r="AJ30" t="s">
        <v>156</v>
      </c>
      <c r="AK30" t="s">
        <v>153</v>
      </c>
      <c r="AL30" t="s">
        <v>120</v>
      </c>
      <c r="AM30" t="s">
        <v>153</v>
      </c>
      <c r="AN30">
        <v>133.10400000000001</v>
      </c>
      <c r="AO30" t="s">
        <v>69</v>
      </c>
      <c r="AP30" t="s">
        <v>69</v>
      </c>
      <c r="AQ30">
        <v>333</v>
      </c>
      <c r="AR30" t="s">
        <v>155</v>
      </c>
      <c r="AS30" t="s">
        <v>153</v>
      </c>
      <c r="AT30" t="s">
        <v>150</v>
      </c>
      <c r="AU30" t="s">
        <v>69</v>
      </c>
      <c r="AV30">
        <v>105.093</v>
      </c>
      <c r="AW30" t="s">
        <v>69</v>
      </c>
      <c r="AX30" t="s">
        <v>69</v>
      </c>
      <c r="AY30">
        <v>334</v>
      </c>
      <c r="AZ30" t="s">
        <v>76</v>
      </c>
      <c r="BA30" t="s">
        <v>69</v>
      </c>
      <c r="BB30" t="s">
        <v>75</v>
      </c>
      <c r="BC30" t="s">
        <v>69</v>
      </c>
      <c r="BD30">
        <v>146.18899999999999</v>
      </c>
      <c r="BE30" t="s">
        <v>69</v>
      </c>
      <c r="BF30" t="s">
        <v>69</v>
      </c>
      <c r="BG30">
        <v>381</v>
      </c>
      <c r="BH30" t="s">
        <v>147</v>
      </c>
      <c r="BI30" t="s">
        <v>153</v>
      </c>
      <c r="BJ30" t="s">
        <v>148</v>
      </c>
      <c r="BK30" t="s">
        <v>153</v>
      </c>
      <c r="BL30">
        <v>146.14599999999999</v>
      </c>
      <c r="BM30" t="s">
        <v>69</v>
      </c>
      <c r="BN30" t="s">
        <v>69</v>
      </c>
      <c r="BO30">
        <v>383</v>
      </c>
      <c r="BP30" t="s">
        <v>70</v>
      </c>
      <c r="BQ30" t="s">
        <v>69</v>
      </c>
      <c r="BR30" t="s">
        <v>71</v>
      </c>
      <c r="BS30" t="s">
        <v>69</v>
      </c>
      <c r="BT30">
        <v>75.066999999999993</v>
      </c>
      <c r="BU30" t="s">
        <v>69</v>
      </c>
      <c r="BV30" t="s">
        <v>69</v>
      </c>
      <c r="BW30">
        <v>384</v>
      </c>
      <c r="BX30" t="s">
        <v>76</v>
      </c>
      <c r="BY30" t="s">
        <v>69</v>
      </c>
      <c r="BZ30" t="s">
        <v>75</v>
      </c>
      <c r="CA30" t="s">
        <v>69</v>
      </c>
      <c r="CB30">
        <v>146.18899999999999</v>
      </c>
      <c r="CC30" t="s">
        <v>69</v>
      </c>
      <c r="CD30" t="s">
        <v>69</v>
      </c>
      <c r="CE30">
        <v>428</v>
      </c>
      <c r="CF30" t="s">
        <v>155</v>
      </c>
      <c r="CG30" t="s">
        <v>69</v>
      </c>
      <c r="CH30" t="s">
        <v>150</v>
      </c>
      <c r="CI30" t="s">
        <v>69</v>
      </c>
      <c r="CJ30">
        <v>105.093</v>
      </c>
      <c r="CK30" t="s">
        <v>69</v>
      </c>
      <c r="CL30" t="s">
        <v>69</v>
      </c>
      <c r="CM30">
        <v>430</v>
      </c>
      <c r="CN30" t="s">
        <v>147</v>
      </c>
      <c r="CO30" t="s">
        <v>69</v>
      </c>
      <c r="CP30" t="s">
        <v>148</v>
      </c>
      <c r="CQ30" t="s">
        <v>69</v>
      </c>
      <c r="CR30">
        <v>146.14599999999999</v>
      </c>
      <c r="CS30" t="s">
        <v>69</v>
      </c>
      <c r="CT30" t="s">
        <v>69</v>
      </c>
      <c r="CU30">
        <v>431</v>
      </c>
      <c r="CV30" t="s">
        <v>70</v>
      </c>
      <c r="CW30" t="s">
        <v>69</v>
      </c>
      <c r="CX30" t="s">
        <v>71</v>
      </c>
      <c r="CY30" t="s">
        <v>69</v>
      </c>
      <c r="CZ30">
        <v>75.066999999999993</v>
      </c>
      <c r="DA30" t="s">
        <v>69</v>
      </c>
      <c r="DB30" t="s">
        <v>69</v>
      </c>
      <c r="DC30">
        <v>433</v>
      </c>
      <c r="DD30" t="s">
        <v>155</v>
      </c>
      <c r="DE30" t="s">
        <v>69</v>
      </c>
      <c r="DF30" t="s">
        <v>150</v>
      </c>
      <c r="DG30" t="s">
        <v>69</v>
      </c>
      <c r="DH30">
        <v>105.093</v>
      </c>
      <c r="DI30" t="s">
        <v>69</v>
      </c>
      <c r="DJ30" t="s">
        <v>69</v>
      </c>
      <c r="DK30">
        <v>452</v>
      </c>
      <c r="DL30" t="s">
        <v>155</v>
      </c>
      <c r="DM30" t="s">
        <v>69</v>
      </c>
      <c r="DN30" t="s">
        <v>150</v>
      </c>
      <c r="DO30" t="s">
        <v>69</v>
      </c>
      <c r="DP30">
        <v>105.093</v>
      </c>
      <c r="DQ30" t="s">
        <v>69</v>
      </c>
      <c r="DR30" t="s">
        <v>69</v>
      </c>
      <c r="DS30">
        <v>454</v>
      </c>
      <c r="DT30" t="s">
        <v>70</v>
      </c>
      <c r="DU30" t="s">
        <v>69</v>
      </c>
      <c r="DV30" t="s">
        <v>71</v>
      </c>
      <c r="DW30" t="s">
        <v>69</v>
      </c>
      <c r="DX30">
        <v>75.066999999999993</v>
      </c>
      <c r="DY30" t="s">
        <v>69</v>
      </c>
      <c r="DZ30" t="s">
        <v>69</v>
      </c>
      <c r="EA30">
        <v>456</v>
      </c>
      <c r="EB30" t="s">
        <v>70</v>
      </c>
      <c r="EC30" t="s">
        <v>69</v>
      </c>
      <c r="ED30" t="s">
        <v>71</v>
      </c>
      <c r="EE30" t="s">
        <v>69</v>
      </c>
      <c r="EF30">
        <v>75.066999999999993</v>
      </c>
      <c r="EG30" t="s">
        <v>69</v>
      </c>
      <c r="EH30" t="s">
        <v>69</v>
      </c>
    </row>
    <row r="31" spans="1:138" x14ac:dyDescent="0.25">
      <c r="A31">
        <v>7</v>
      </c>
      <c r="B31" t="str">
        <f>HYPERLINK("http://www.ncbi.nlm.nih.gov/protein/XP_018104413.1","XP_018104413.1")</f>
        <v>XP_018104413.1</v>
      </c>
      <c r="C31">
        <v>146185</v>
      </c>
      <c r="D31" t="str">
        <f>HYPERLINK("http://www.ncbi.nlm.nih.gov/Taxonomy/Browser/wwwtax.cgi?mode=Info&amp;id=8355&amp;lvl=3&amp;lin=f&amp;keep=1&amp;srchmode=1&amp;unlock","8355")</f>
        <v>8355</v>
      </c>
      <c r="E31" t="s">
        <v>111</v>
      </c>
      <c r="F31" t="str">
        <f>HYPERLINK("http://www.ncbi.nlm.nih.gov/Taxonomy/Browser/wwwtax.cgi?mode=Info&amp;id=8355&amp;lvl=3&amp;lin=f&amp;keep=1&amp;srchmode=1&amp;unlock","Xenopus laevis")</f>
        <v>Xenopus laevis</v>
      </c>
      <c r="G31" t="s">
        <v>112</v>
      </c>
      <c r="H31" t="str">
        <f>HYPERLINK("http://www.ncbi.nlm.nih.gov/protein/XP_018104413.1","transmembrane protease serine 2")</f>
        <v>transmembrane protease serine 2</v>
      </c>
      <c r="I31" t="s">
        <v>269</v>
      </c>
      <c r="J31" t="s">
        <v>69</v>
      </c>
      <c r="K31">
        <v>289</v>
      </c>
      <c r="L31" t="s">
        <v>157</v>
      </c>
      <c r="M31" t="s">
        <v>69</v>
      </c>
      <c r="N31" t="s">
        <v>75</v>
      </c>
      <c r="O31" t="s">
        <v>69</v>
      </c>
      <c r="P31">
        <v>155.15600000000001</v>
      </c>
      <c r="Q31" t="s">
        <v>69</v>
      </c>
      <c r="R31" t="s">
        <v>69</v>
      </c>
      <c r="S31">
        <v>292</v>
      </c>
      <c r="T31" t="s">
        <v>119</v>
      </c>
      <c r="U31" t="s">
        <v>69</v>
      </c>
      <c r="V31" t="s">
        <v>120</v>
      </c>
      <c r="W31" t="s">
        <v>69</v>
      </c>
      <c r="X31">
        <v>147.131</v>
      </c>
      <c r="Y31" t="s">
        <v>69</v>
      </c>
      <c r="Z31" t="s">
        <v>69</v>
      </c>
      <c r="AA31">
        <v>329</v>
      </c>
      <c r="AB31" t="s">
        <v>156</v>
      </c>
      <c r="AC31" t="s">
        <v>69</v>
      </c>
      <c r="AD31" t="s">
        <v>120</v>
      </c>
      <c r="AE31" t="s">
        <v>69</v>
      </c>
      <c r="AF31">
        <v>133.10400000000001</v>
      </c>
      <c r="AG31" t="s">
        <v>69</v>
      </c>
      <c r="AH31" t="s">
        <v>69</v>
      </c>
      <c r="AI31">
        <v>331</v>
      </c>
      <c r="AJ31" t="s">
        <v>76</v>
      </c>
      <c r="AK31" t="s">
        <v>69</v>
      </c>
      <c r="AL31" t="s">
        <v>75</v>
      </c>
      <c r="AM31" t="s">
        <v>69</v>
      </c>
      <c r="AN31">
        <v>146.18899999999999</v>
      </c>
      <c r="AO31" t="s">
        <v>69</v>
      </c>
      <c r="AP31" t="s">
        <v>69</v>
      </c>
      <c r="AQ31">
        <v>332</v>
      </c>
      <c r="AR31" t="s">
        <v>149</v>
      </c>
      <c r="AS31" t="s">
        <v>69</v>
      </c>
      <c r="AT31" t="s">
        <v>150</v>
      </c>
      <c r="AU31" t="s">
        <v>69</v>
      </c>
      <c r="AV31">
        <v>119.119</v>
      </c>
      <c r="AW31" t="s">
        <v>69</v>
      </c>
      <c r="AX31" t="s">
        <v>69</v>
      </c>
      <c r="AY31">
        <v>333</v>
      </c>
      <c r="AZ31" t="s">
        <v>76</v>
      </c>
      <c r="BA31" t="s">
        <v>69</v>
      </c>
      <c r="BB31" t="s">
        <v>75</v>
      </c>
      <c r="BC31" t="s">
        <v>69</v>
      </c>
      <c r="BD31">
        <v>146.18899999999999</v>
      </c>
      <c r="BE31" t="s">
        <v>69</v>
      </c>
      <c r="BF31" t="s">
        <v>69</v>
      </c>
      <c r="BG31">
        <v>380</v>
      </c>
      <c r="BH31" t="s">
        <v>119</v>
      </c>
      <c r="BI31" t="s">
        <v>69</v>
      </c>
      <c r="BJ31" t="s">
        <v>120</v>
      </c>
      <c r="BK31" t="s">
        <v>69</v>
      </c>
      <c r="BL31">
        <v>147.131</v>
      </c>
      <c r="BM31" t="s">
        <v>69</v>
      </c>
      <c r="BN31" t="s">
        <v>69</v>
      </c>
      <c r="BO31">
        <v>382</v>
      </c>
      <c r="BP31" t="s">
        <v>70</v>
      </c>
      <c r="BQ31" t="s">
        <v>69</v>
      </c>
      <c r="BR31" t="s">
        <v>71</v>
      </c>
      <c r="BS31" t="s">
        <v>69</v>
      </c>
      <c r="BT31">
        <v>75.066999999999993</v>
      </c>
      <c r="BU31" t="s">
        <v>69</v>
      </c>
      <c r="BV31" t="s">
        <v>69</v>
      </c>
      <c r="BW31">
        <v>383</v>
      </c>
      <c r="BX31" t="s">
        <v>149</v>
      </c>
      <c r="BY31" t="s">
        <v>153</v>
      </c>
      <c r="BZ31" t="s">
        <v>150</v>
      </c>
      <c r="CA31" t="s">
        <v>153</v>
      </c>
      <c r="CB31">
        <v>119.119</v>
      </c>
      <c r="CC31" t="s">
        <v>69</v>
      </c>
      <c r="CD31" t="s">
        <v>69</v>
      </c>
      <c r="CE31">
        <v>427</v>
      </c>
      <c r="CF31" t="s">
        <v>155</v>
      </c>
      <c r="CG31" t="s">
        <v>69</v>
      </c>
      <c r="CH31" t="s">
        <v>150</v>
      </c>
      <c r="CI31" t="s">
        <v>69</v>
      </c>
      <c r="CJ31">
        <v>105.093</v>
      </c>
      <c r="CK31" t="s">
        <v>69</v>
      </c>
      <c r="CL31" t="s">
        <v>69</v>
      </c>
      <c r="CM31">
        <v>429</v>
      </c>
      <c r="CN31" t="s">
        <v>147</v>
      </c>
      <c r="CO31" t="s">
        <v>69</v>
      </c>
      <c r="CP31" t="s">
        <v>148</v>
      </c>
      <c r="CQ31" t="s">
        <v>69</v>
      </c>
      <c r="CR31">
        <v>146.14599999999999</v>
      </c>
      <c r="CS31" t="s">
        <v>69</v>
      </c>
      <c r="CT31" t="s">
        <v>69</v>
      </c>
      <c r="CU31">
        <v>430</v>
      </c>
      <c r="CV31" t="s">
        <v>70</v>
      </c>
      <c r="CW31" t="s">
        <v>69</v>
      </c>
      <c r="CX31" t="s">
        <v>71</v>
      </c>
      <c r="CY31" t="s">
        <v>69</v>
      </c>
      <c r="CZ31">
        <v>75.066999999999993</v>
      </c>
      <c r="DA31" t="s">
        <v>69</v>
      </c>
      <c r="DB31" t="s">
        <v>69</v>
      </c>
      <c r="DC31">
        <v>432</v>
      </c>
      <c r="DD31" t="s">
        <v>155</v>
      </c>
      <c r="DE31" t="s">
        <v>69</v>
      </c>
      <c r="DF31" t="s">
        <v>150</v>
      </c>
      <c r="DG31" t="s">
        <v>69</v>
      </c>
      <c r="DH31">
        <v>105.093</v>
      </c>
      <c r="DI31" t="s">
        <v>69</v>
      </c>
      <c r="DJ31" t="s">
        <v>69</v>
      </c>
      <c r="DK31">
        <v>451</v>
      </c>
      <c r="DL31" t="s">
        <v>155</v>
      </c>
      <c r="DM31" t="s">
        <v>69</v>
      </c>
      <c r="DN31" t="s">
        <v>150</v>
      </c>
      <c r="DO31" t="s">
        <v>69</v>
      </c>
      <c r="DP31">
        <v>105.093</v>
      </c>
      <c r="DQ31" t="s">
        <v>69</v>
      </c>
      <c r="DR31" t="s">
        <v>69</v>
      </c>
      <c r="DS31">
        <v>453</v>
      </c>
      <c r="DT31" t="s">
        <v>70</v>
      </c>
      <c r="DU31" t="s">
        <v>69</v>
      </c>
      <c r="DV31" t="s">
        <v>71</v>
      </c>
      <c r="DW31" t="s">
        <v>69</v>
      </c>
      <c r="DX31">
        <v>75.066999999999993</v>
      </c>
      <c r="DY31" t="s">
        <v>69</v>
      </c>
      <c r="DZ31" t="s">
        <v>69</v>
      </c>
      <c r="EA31">
        <v>455</v>
      </c>
      <c r="EB31" t="s">
        <v>70</v>
      </c>
      <c r="EC31" t="s">
        <v>69</v>
      </c>
      <c r="ED31" t="s">
        <v>71</v>
      </c>
      <c r="EE31" t="s">
        <v>69</v>
      </c>
      <c r="EF31">
        <v>75.066999999999993</v>
      </c>
      <c r="EG31" t="s">
        <v>69</v>
      </c>
      <c r="EH31" t="s">
        <v>69</v>
      </c>
    </row>
    <row r="32" spans="1:138" x14ac:dyDescent="0.25">
      <c r="A32">
        <v>7</v>
      </c>
      <c r="B32" t="str">
        <f>HYPERLINK("http://www.ncbi.nlm.nih.gov/protein/KAG1970217.1","KAG1970217.1")</f>
        <v>KAG1970217.1</v>
      </c>
      <c r="C32">
        <v>96114</v>
      </c>
      <c r="D32" t="str">
        <f>HYPERLINK("http://www.ncbi.nlm.nih.gov/Taxonomy/Browser/wwwtax.cgi?mode=Info&amp;id=90988&amp;lvl=3&amp;lin=f&amp;keep=1&amp;srchmode=1&amp;unlock","90988")</f>
        <v>90988</v>
      </c>
      <c r="E32" t="s">
        <v>113</v>
      </c>
      <c r="F32" t="str">
        <f>HYPERLINK("http://www.ncbi.nlm.nih.gov/Taxonomy/Browser/wwwtax.cgi?mode=Info&amp;id=90988&amp;lvl=3&amp;lin=f&amp;keep=1&amp;srchmode=1&amp;unlock","Pimephales promelas")</f>
        <v>Pimephales promelas</v>
      </c>
      <c r="G32" t="s">
        <v>114</v>
      </c>
      <c r="H32" t="str">
        <f>HYPERLINK("http://www.ncbi.nlm.nih.gov/protein/KAG1970217.1","transmembrane protease serine")</f>
        <v>transmembrane protease serine</v>
      </c>
      <c r="I32" t="s">
        <v>269</v>
      </c>
      <c r="J32" t="s">
        <v>153</v>
      </c>
      <c r="K32">
        <v>300</v>
      </c>
      <c r="L32" t="s">
        <v>157</v>
      </c>
      <c r="M32" t="s">
        <v>69</v>
      </c>
      <c r="N32" t="s">
        <v>75</v>
      </c>
      <c r="O32" t="s">
        <v>69</v>
      </c>
      <c r="P32">
        <v>155.15600000000001</v>
      </c>
      <c r="Q32" t="s">
        <v>69</v>
      </c>
      <c r="R32" t="s">
        <v>69</v>
      </c>
      <c r="S32">
        <v>303</v>
      </c>
      <c r="T32" t="s">
        <v>147</v>
      </c>
      <c r="U32" t="s">
        <v>153</v>
      </c>
      <c r="V32" t="s">
        <v>148</v>
      </c>
      <c r="W32" t="s">
        <v>153</v>
      </c>
      <c r="X32">
        <v>146.14599999999999</v>
      </c>
      <c r="Y32" t="s">
        <v>69</v>
      </c>
      <c r="Z32" t="s">
        <v>69</v>
      </c>
      <c r="AA32">
        <v>340</v>
      </c>
      <c r="AB32" t="s">
        <v>156</v>
      </c>
      <c r="AC32" t="s">
        <v>69</v>
      </c>
      <c r="AD32" t="s">
        <v>120</v>
      </c>
      <c r="AE32" t="s">
        <v>69</v>
      </c>
      <c r="AF32">
        <v>133.10400000000001</v>
      </c>
      <c r="AG32" t="s">
        <v>69</v>
      </c>
      <c r="AH32" t="s">
        <v>69</v>
      </c>
      <c r="AI32">
        <v>342</v>
      </c>
      <c r="AJ32" t="s">
        <v>74</v>
      </c>
      <c r="AK32" t="s">
        <v>153</v>
      </c>
      <c r="AL32" t="s">
        <v>75</v>
      </c>
      <c r="AM32" t="s">
        <v>69</v>
      </c>
      <c r="AN32">
        <v>174.203</v>
      </c>
      <c r="AO32" t="s">
        <v>69</v>
      </c>
      <c r="AP32" t="s">
        <v>69</v>
      </c>
      <c r="AQ32">
        <v>343</v>
      </c>
      <c r="AR32" t="s">
        <v>149</v>
      </c>
      <c r="AS32" t="s">
        <v>69</v>
      </c>
      <c r="AT32" t="s">
        <v>150</v>
      </c>
      <c r="AU32" t="s">
        <v>69</v>
      </c>
      <c r="AV32">
        <v>119.119</v>
      </c>
      <c r="AW32" t="s">
        <v>69</v>
      </c>
      <c r="AX32" t="s">
        <v>69</v>
      </c>
      <c r="AY32">
        <v>344</v>
      </c>
      <c r="AZ32" t="s">
        <v>153</v>
      </c>
      <c r="BA32" t="s">
        <v>153</v>
      </c>
      <c r="BB32" t="s">
        <v>148</v>
      </c>
      <c r="BC32" t="s">
        <v>153</v>
      </c>
      <c r="BD32">
        <v>132.119</v>
      </c>
      <c r="BE32" t="s">
        <v>69</v>
      </c>
      <c r="BF32" t="s">
        <v>69</v>
      </c>
      <c r="BG32">
        <v>392</v>
      </c>
      <c r="BH32" t="s">
        <v>155</v>
      </c>
      <c r="BI32" t="s">
        <v>153</v>
      </c>
      <c r="BJ32" t="s">
        <v>150</v>
      </c>
      <c r="BK32" t="s">
        <v>153</v>
      </c>
      <c r="BL32">
        <v>105.093</v>
      </c>
      <c r="BM32" t="s">
        <v>153</v>
      </c>
      <c r="BN32" t="s">
        <v>153</v>
      </c>
      <c r="BO32">
        <v>394</v>
      </c>
      <c r="BP32" t="s">
        <v>70</v>
      </c>
      <c r="BQ32" t="s">
        <v>69</v>
      </c>
      <c r="BR32" t="s">
        <v>71</v>
      </c>
      <c r="BS32" t="s">
        <v>69</v>
      </c>
      <c r="BT32">
        <v>75.066999999999993</v>
      </c>
      <c r="BU32" t="s">
        <v>69</v>
      </c>
      <c r="BV32" t="s">
        <v>69</v>
      </c>
      <c r="BW32">
        <v>395</v>
      </c>
      <c r="BX32" t="s">
        <v>72</v>
      </c>
      <c r="BY32" t="s">
        <v>153</v>
      </c>
      <c r="BZ32" t="s">
        <v>71</v>
      </c>
      <c r="CA32" t="s">
        <v>153</v>
      </c>
      <c r="CB32">
        <v>131.17500000000001</v>
      </c>
      <c r="CC32" t="s">
        <v>69</v>
      </c>
      <c r="CD32" t="s">
        <v>69</v>
      </c>
      <c r="CE32">
        <v>439</v>
      </c>
      <c r="CF32" t="s">
        <v>155</v>
      </c>
      <c r="CG32" t="s">
        <v>69</v>
      </c>
      <c r="CH32" t="s">
        <v>150</v>
      </c>
      <c r="CI32" t="s">
        <v>69</v>
      </c>
      <c r="CJ32">
        <v>105.093</v>
      </c>
      <c r="CK32" t="s">
        <v>69</v>
      </c>
      <c r="CL32" t="s">
        <v>69</v>
      </c>
      <c r="CM32">
        <v>441</v>
      </c>
      <c r="CN32" t="s">
        <v>147</v>
      </c>
      <c r="CO32" t="s">
        <v>69</v>
      </c>
      <c r="CP32" t="s">
        <v>148</v>
      </c>
      <c r="CQ32" t="s">
        <v>69</v>
      </c>
      <c r="CR32">
        <v>146.14599999999999</v>
      </c>
      <c r="CS32" t="s">
        <v>69</v>
      </c>
      <c r="CT32" t="s">
        <v>69</v>
      </c>
      <c r="CU32">
        <v>442</v>
      </c>
      <c r="CV32" t="s">
        <v>70</v>
      </c>
      <c r="CW32" t="s">
        <v>69</v>
      </c>
      <c r="CX32" t="s">
        <v>71</v>
      </c>
      <c r="CY32" t="s">
        <v>69</v>
      </c>
      <c r="CZ32">
        <v>75.066999999999993</v>
      </c>
      <c r="DA32" t="s">
        <v>69</v>
      </c>
      <c r="DB32" t="s">
        <v>69</v>
      </c>
      <c r="DC32">
        <v>444</v>
      </c>
      <c r="DD32" t="s">
        <v>155</v>
      </c>
      <c r="DE32" t="s">
        <v>69</v>
      </c>
      <c r="DF32" t="s">
        <v>150</v>
      </c>
      <c r="DG32" t="s">
        <v>69</v>
      </c>
      <c r="DH32">
        <v>105.093</v>
      </c>
      <c r="DI32" t="s">
        <v>69</v>
      </c>
      <c r="DJ32" t="s">
        <v>69</v>
      </c>
      <c r="DK32">
        <v>463</v>
      </c>
      <c r="DL32" t="s">
        <v>155</v>
      </c>
      <c r="DM32" t="s">
        <v>69</v>
      </c>
      <c r="DN32" t="s">
        <v>150</v>
      </c>
      <c r="DO32" t="s">
        <v>69</v>
      </c>
      <c r="DP32">
        <v>105.093</v>
      </c>
      <c r="DQ32" t="s">
        <v>69</v>
      </c>
      <c r="DR32" t="s">
        <v>69</v>
      </c>
      <c r="DS32">
        <v>465</v>
      </c>
      <c r="DT32" t="s">
        <v>70</v>
      </c>
      <c r="DU32" t="s">
        <v>69</v>
      </c>
      <c r="DV32" t="s">
        <v>71</v>
      </c>
      <c r="DW32" t="s">
        <v>69</v>
      </c>
      <c r="DX32">
        <v>75.066999999999993</v>
      </c>
      <c r="DY32" t="s">
        <v>69</v>
      </c>
      <c r="DZ32" t="s">
        <v>69</v>
      </c>
      <c r="EA32">
        <v>467</v>
      </c>
      <c r="EB32" t="s">
        <v>70</v>
      </c>
      <c r="EC32" t="s">
        <v>69</v>
      </c>
      <c r="ED32" t="s">
        <v>71</v>
      </c>
      <c r="EE32" t="s">
        <v>69</v>
      </c>
      <c r="EF32">
        <v>75.066999999999993</v>
      </c>
      <c r="EG32" t="s">
        <v>69</v>
      </c>
      <c r="EH32" t="s">
        <v>69</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32"/>
  <sheetViews>
    <sheetView workbookViewId="0"/>
  </sheetViews>
  <sheetFormatPr defaultRowHeight="15" x14ac:dyDescent="0.25"/>
  <cols>
    <col min="7" max="7" width="26.42578125" customWidth="1"/>
    <col min="8" max="8" width="40.5703125" customWidth="1"/>
  </cols>
  <sheetData>
    <row r="1" spans="1:11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row>
    <row r="2" spans="1:114" x14ac:dyDescent="0.25">
      <c r="A2">
        <v>7</v>
      </c>
      <c r="B2" t="str">
        <f>HYPERLINK("http://www.ncbi.nlm.nih.gov/protein/NP_005647.3","NP_005647.3")</f>
        <v>NP_005647.3</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HYPERLINK("http://www.ncbi.nlm.nih.gov/protein/NP_005647.3","transmembrane protease serine 2 isoform 2")</f>
        <v>transmembrane protease serine 2 isoform 2</v>
      </c>
      <c r="I2" t="s">
        <v>269</v>
      </c>
      <c r="J2" t="s">
        <v>69</v>
      </c>
      <c r="K2">
        <v>280</v>
      </c>
      <c r="L2" t="s">
        <v>115</v>
      </c>
      <c r="M2" t="s">
        <v>69</v>
      </c>
      <c r="N2" t="s">
        <v>71</v>
      </c>
      <c r="O2" t="s">
        <v>69</v>
      </c>
      <c r="P2">
        <v>117.148</v>
      </c>
      <c r="Q2" t="s">
        <v>69</v>
      </c>
      <c r="R2" t="s">
        <v>69</v>
      </c>
      <c r="S2">
        <v>300</v>
      </c>
      <c r="T2" t="s">
        <v>76</v>
      </c>
      <c r="U2" t="s">
        <v>69</v>
      </c>
      <c r="V2" t="s">
        <v>75</v>
      </c>
      <c r="W2" t="s">
        <v>69</v>
      </c>
      <c r="X2">
        <v>146.18899999999999</v>
      </c>
      <c r="Y2" t="s">
        <v>69</v>
      </c>
      <c r="Z2" t="s">
        <v>69</v>
      </c>
      <c r="AA2">
        <v>419</v>
      </c>
      <c r="AB2" t="s">
        <v>72</v>
      </c>
      <c r="AC2" t="s">
        <v>69</v>
      </c>
      <c r="AD2" t="s">
        <v>71</v>
      </c>
      <c r="AE2" t="s">
        <v>69</v>
      </c>
      <c r="AF2">
        <v>131.17500000000001</v>
      </c>
      <c r="AG2" t="s">
        <v>69</v>
      </c>
      <c r="AH2" t="s">
        <v>69</v>
      </c>
      <c r="AI2">
        <v>435</v>
      </c>
      <c r="AJ2" t="s">
        <v>156</v>
      </c>
      <c r="AK2" t="s">
        <v>69</v>
      </c>
      <c r="AL2" t="s">
        <v>120</v>
      </c>
      <c r="AM2" t="s">
        <v>69</v>
      </c>
      <c r="AN2">
        <v>133.10400000000001</v>
      </c>
      <c r="AO2" t="s">
        <v>69</v>
      </c>
      <c r="AP2" t="s">
        <v>69</v>
      </c>
      <c r="AQ2">
        <v>437</v>
      </c>
      <c r="AR2" t="s">
        <v>249</v>
      </c>
      <c r="AS2" t="s">
        <v>69</v>
      </c>
      <c r="AT2" t="s">
        <v>117</v>
      </c>
      <c r="AU2" t="s">
        <v>69</v>
      </c>
      <c r="AV2">
        <v>121.154</v>
      </c>
      <c r="AW2" t="s">
        <v>69</v>
      </c>
      <c r="AX2" t="s">
        <v>69</v>
      </c>
      <c r="AY2">
        <v>440</v>
      </c>
      <c r="AZ2" t="s">
        <v>156</v>
      </c>
      <c r="BA2" t="s">
        <v>69</v>
      </c>
      <c r="BB2" t="s">
        <v>120</v>
      </c>
      <c r="BC2" t="s">
        <v>69</v>
      </c>
      <c r="BD2">
        <v>133.10400000000001</v>
      </c>
      <c r="BE2" t="s">
        <v>69</v>
      </c>
      <c r="BF2" t="s">
        <v>69</v>
      </c>
      <c r="BG2">
        <v>459</v>
      </c>
      <c r="BH2" t="s">
        <v>149</v>
      </c>
      <c r="BI2" t="s">
        <v>69</v>
      </c>
      <c r="BJ2" t="s">
        <v>150</v>
      </c>
      <c r="BK2" t="s">
        <v>69</v>
      </c>
      <c r="BL2">
        <v>119.119</v>
      </c>
      <c r="BM2" t="s">
        <v>69</v>
      </c>
      <c r="BN2" t="s">
        <v>69</v>
      </c>
      <c r="BO2">
        <v>461</v>
      </c>
      <c r="BP2" t="s">
        <v>250</v>
      </c>
      <c r="BQ2" t="s">
        <v>69</v>
      </c>
      <c r="BR2" t="s">
        <v>152</v>
      </c>
      <c r="BS2" t="s">
        <v>69</v>
      </c>
      <c r="BT2">
        <v>204.22800000000001</v>
      </c>
      <c r="BU2" t="s">
        <v>69</v>
      </c>
      <c r="BV2" t="s">
        <v>69</v>
      </c>
      <c r="BW2">
        <v>463</v>
      </c>
      <c r="BX2" t="s">
        <v>155</v>
      </c>
      <c r="BY2" t="s">
        <v>69</v>
      </c>
      <c r="BZ2" t="s">
        <v>150</v>
      </c>
      <c r="CA2" t="s">
        <v>69</v>
      </c>
      <c r="CB2">
        <v>105.093</v>
      </c>
      <c r="CC2" t="s">
        <v>69</v>
      </c>
      <c r="CD2" t="s">
        <v>69</v>
      </c>
      <c r="CE2">
        <v>465</v>
      </c>
      <c r="CF2" t="s">
        <v>249</v>
      </c>
      <c r="CG2" t="s">
        <v>69</v>
      </c>
      <c r="CH2" t="s">
        <v>117</v>
      </c>
      <c r="CI2" t="s">
        <v>69</v>
      </c>
      <c r="CJ2">
        <v>121.154</v>
      </c>
      <c r="CK2" t="s">
        <v>69</v>
      </c>
      <c r="CL2" t="s">
        <v>69</v>
      </c>
      <c r="CM2">
        <v>470</v>
      </c>
      <c r="CN2" t="s">
        <v>74</v>
      </c>
      <c r="CO2" t="s">
        <v>69</v>
      </c>
      <c r="CP2" t="s">
        <v>75</v>
      </c>
      <c r="CQ2" t="s">
        <v>69</v>
      </c>
      <c r="CR2">
        <v>174.203</v>
      </c>
      <c r="CS2" t="s">
        <v>69</v>
      </c>
      <c r="CT2" t="s">
        <v>69</v>
      </c>
      <c r="CU2">
        <v>471</v>
      </c>
      <c r="CV2" t="s">
        <v>146</v>
      </c>
      <c r="CW2" t="s">
        <v>69</v>
      </c>
      <c r="CX2" t="s">
        <v>71</v>
      </c>
      <c r="CY2" t="s">
        <v>69</v>
      </c>
      <c r="CZ2">
        <v>115.13200000000001</v>
      </c>
      <c r="DA2" t="s">
        <v>69</v>
      </c>
      <c r="DB2" t="s">
        <v>69</v>
      </c>
      <c r="DC2">
        <v>472</v>
      </c>
      <c r="DD2" t="s">
        <v>70</v>
      </c>
      <c r="DE2" t="s">
        <v>69</v>
      </c>
      <c r="DF2" t="s">
        <v>71</v>
      </c>
      <c r="DG2" t="s">
        <v>69</v>
      </c>
      <c r="DH2">
        <v>75.066999999999993</v>
      </c>
      <c r="DI2" t="s">
        <v>69</v>
      </c>
      <c r="DJ2" t="s">
        <v>69</v>
      </c>
    </row>
    <row r="3" spans="1:114" x14ac:dyDescent="0.25">
      <c r="A3">
        <v>7</v>
      </c>
      <c r="B3" t="str">
        <f>HYPERLINK("http://www.ncbi.nlm.nih.gov/protein/XP_004062887.1","XP_004062887.1")</f>
        <v>XP_004062887.1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HYPERLINK("http://www.ncbi.nlm.nih.gov/protein/XP_004062887.1","transmembrane protease serine 2 isoform X2")</f>
        <v>transmembrane protease serine 2 isoform X2</v>
      </c>
      <c r="I3" t="s">
        <v>269</v>
      </c>
      <c r="J3" t="s">
        <v>69</v>
      </c>
      <c r="K3">
        <v>280</v>
      </c>
      <c r="L3" t="s">
        <v>115</v>
      </c>
      <c r="M3" t="s">
        <v>69</v>
      </c>
      <c r="N3" t="s">
        <v>71</v>
      </c>
      <c r="O3" t="s">
        <v>69</v>
      </c>
      <c r="P3">
        <v>117.148</v>
      </c>
      <c r="Q3" t="s">
        <v>69</v>
      </c>
      <c r="R3" t="s">
        <v>69</v>
      </c>
      <c r="S3">
        <v>300</v>
      </c>
      <c r="T3" t="s">
        <v>76</v>
      </c>
      <c r="U3" t="s">
        <v>69</v>
      </c>
      <c r="V3" t="s">
        <v>75</v>
      </c>
      <c r="W3" t="s">
        <v>69</v>
      </c>
      <c r="X3">
        <v>146.18899999999999</v>
      </c>
      <c r="Y3" t="s">
        <v>69</v>
      </c>
      <c r="Z3" t="s">
        <v>69</v>
      </c>
      <c r="AA3">
        <v>419</v>
      </c>
      <c r="AB3" t="s">
        <v>72</v>
      </c>
      <c r="AC3" t="s">
        <v>69</v>
      </c>
      <c r="AD3" t="s">
        <v>71</v>
      </c>
      <c r="AE3" t="s">
        <v>69</v>
      </c>
      <c r="AF3">
        <v>131.17500000000001</v>
      </c>
      <c r="AG3" t="s">
        <v>69</v>
      </c>
      <c r="AH3" t="s">
        <v>69</v>
      </c>
      <c r="AI3">
        <v>435</v>
      </c>
      <c r="AJ3" t="s">
        <v>156</v>
      </c>
      <c r="AK3" t="s">
        <v>69</v>
      </c>
      <c r="AL3" t="s">
        <v>120</v>
      </c>
      <c r="AM3" t="s">
        <v>69</v>
      </c>
      <c r="AN3">
        <v>133.10400000000001</v>
      </c>
      <c r="AO3" t="s">
        <v>69</v>
      </c>
      <c r="AP3" t="s">
        <v>69</v>
      </c>
      <c r="AQ3">
        <v>437</v>
      </c>
      <c r="AR3" t="s">
        <v>249</v>
      </c>
      <c r="AS3" t="s">
        <v>69</v>
      </c>
      <c r="AT3" t="s">
        <v>117</v>
      </c>
      <c r="AU3" t="s">
        <v>69</v>
      </c>
      <c r="AV3">
        <v>121.154</v>
      </c>
      <c r="AW3" t="s">
        <v>69</v>
      </c>
      <c r="AX3" t="s">
        <v>69</v>
      </c>
      <c r="AY3">
        <v>440</v>
      </c>
      <c r="AZ3" t="s">
        <v>156</v>
      </c>
      <c r="BA3" t="s">
        <v>69</v>
      </c>
      <c r="BB3" t="s">
        <v>120</v>
      </c>
      <c r="BC3" t="s">
        <v>69</v>
      </c>
      <c r="BD3">
        <v>133.10400000000001</v>
      </c>
      <c r="BE3" t="s">
        <v>69</v>
      </c>
      <c r="BF3" t="s">
        <v>69</v>
      </c>
      <c r="BG3">
        <v>459</v>
      </c>
      <c r="BH3" t="s">
        <v>149</v>
      </c>
      <c r="BI3" t="s">
        <v>69</v>
      </c>
      <c r="BJ3" t="s">
        <v>150</v>
      </c>
      <c r="BK3" t="s">
        <v>69</v>
      </c>
      <c r="BL3">
        <v>119.119</v>
      </c>
      <c r="BM3" t="s">
        <v>69</v>
      </c>
      <c r="BN3" t="s">
        <v>69</v>
      </c>
      <c r="BO3">
        <v>461</v>
      </c>
      <c r="BP3" t="s">
        <v>250</v>
      </c>
      <c r="BQ3" t="s">
        <v>69</v>
      </c>
      <c r="BR3" t="s">
        <v>152</v>
      </c>
      <c r="BS3" t="s">
        <v>69</v>
      </c>
      <c r="BT3">
        <v>204.22800000000001</v>
      </c>
      <c r="BU3" t="s">
        <v>69</v>
      </c>
      <c r="BV3" t="s">
        <v>69</v>
      </c>
      <c r="BW3">
        <v>463</v>
      </c>
      <c r="BX3" t="s">
        <v>155</v>
      </c>
      <c r="BY3" t="s">
        <v>69</v>
      </c>
      <c r="BZ3" t="s">
        <v>150</v>
      </c>
      <c r="CA3" t="s">
        <v>69</v>
      </c>
      <c r="CB3">
        <v>105.093</v>
      </c>
      <c r="CC3" t="s">
        <v>69</v>
      </c>
      <c r="CD3" t="s">
        <v>69</v>
      </c>
      <c r="CE3">
        <v>465</v>
      </c>
      <c r="CF3" t="s">
        <v>249</v>
      </c>
      <c r="CG3" t="s">
        <v>69</v>
      </c>
      <c r="CH3" t="s">
        <v>117</v>
      </c>
      <c r="CI3" t="s">
        <v>69</v>
      </c>
      <c r="CJ3">
        <v>121.154</v>
      </c>
      <c r="CK3" t="s">
        <v>69</v>
      </c>
      <c r="CL3" t="s">
        <v>69</v>
      </c>
      <c r="CM3">
        <v>470</v>
      </c>
      <c r="CN3" t="s">
        <v>74</v>
      </c>
      <c r="CO3" t="s">
        <v>69</v>
      </c>
      <c r="CP3" t="s">
        <v>75</v>
      </c>
      <c r="CQ3" t="s">
        <v>69</v>
      </c>
      <c r="CR3">
        <v>174.203</v>
      </c>
      <c r="CS3" t="s">
        <v>69</v>
      </c>
      <c r="CT3" t="s">
        <v>69</v>
      </c>
      <c r="CU3">
        <v>471</v>
      </c>
      <c r="CV3" t="s">
        <v>146</v>
      </c>
      <c r="CW3" t="s">
        <v>69</v>
      </c>
      <c r="CX3" t="s">
        <v>71</v>
      </c>
      <c r="CY3" t="s">
        <v>69</v>
      </c>
      <c r="CZ3">
        <v>115.13200000000001</v>
      </c>
      <c r="DA3" t="s">
        <v>69</v>
      </c>
      <c r="DB3" t="s">
        <v>69</v>
      </c>
      <c r="DC3">
        <v>472</v>
      </c>
      <c r="DD3" t="s">
        <v>70</v>
      </c>
      <c r="DE3" t="s">
        <v>69</v>
      </c>
      <c r="DF3" t="s">
        <v>71</v>
      </c>
      <c r="DG3" t="s">
        <v>69</v>
      </c>
      <c r="DH3">
        <v>75.066999999999993</v>
      </c>
      <c r="DI3" t="s">
        <v>69</v>
      </c>
      <c r="DJ3" t="s">
        <v>69</v>
      </c>
    </row>
    <row r="4" spans="1:114" x14ac:dyDescent="0.25">
      <c r="A4">
        <v>7</v>
      </c>
      <c r="B4" t="str">
        <f>HYPERLINK("http://www.ncbi.nlm.nih.gov/protein/XP_009200480.2","XP_009200480.2")</f>
        <v>XP_009200480.2</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HYPERLINK("http://www.ncbi.nlm.nih.gov/protein/XP_009200480.2","transmembrane protease serine 2")</f>
        <v>transmembrane protease serine 2</v>
      </c>
      <c r="I4" t="s">
        <v>269</v>
      </c>
      <c r="J4" t="s">
        <v>69</v>
      </c>
      <c r="K4">
        <v>313</v>
      </c>
      <c r="L4" t="s">
        <v>115</v>
      </c>
      <c r="M4" t="s">
        <v>69</v>
      </c>
      <c r="N4" t="s">
        <v>71</v>
      </c>
      <c r="O4" t="s">
        <v>69</v>
      </c>
      <c r="P4">
        <v>117.148</v>
      </c>
      <c r="Q4" t="s">
        <v>69</v>
      </c>
      <c r="R4" t="s">
        <v>69</v>
      </c>
      <c r="S4">
        <v>333</v>
      </c>
      <c r="T4" t="s">
        <v>76</v>
      </c>
      <c r="U4" t="s">
        <v>69</v>
      </c>
      <c r="V4" t="s">
        <v>75</v>
      </c>
      <c r="W4" t="s">
        <v>69</v>
      </c>
      <c r="X4">
        <v>146.18899999999999</v>
      </c>
      <c r="Y4" t="s">
        <v>69</v>
      </c>
      <c r="Z4" t="s">
        <v>69</v>
      </c>
      <c r="AA4">
        <v>452</v>
      </c>
      <c r="AB4" t="s">
        <v>72</v>
      </c>
      <c r="AC4" t="s">
        <v>69</v>
      </c>
      <c r="AD4" t="s">
        <v>71</v>
      </c>
      <c r="AE4" t="s">
        <v>69</v>
      </c>
      <c r="AF4">
        <v>131.17500000000001</v>
      </c>
      <c r="AG4" t="s">
        <v>69</v>
      </c>
      <c r="AH4" t="s">
        <v>69</v>
      </c>
      <c r="AI4">
        <v>468</v>
      </c>
      <c r="AJ4" t="s">
        <v>156</v>
      </c>
      <c r="AK4" t="s">
        <v>69</v>
      </c>
      <c r="AL4" t="s">
        <v>120</v>
      </c>
      <c r="AM4" t="s">
        <v>69</v>
      </c>
      <c r="AN4">
        <v>133.10400000000001</v>
      </c>
      <c r="AO4" t="s">
        <v>69</v>
      </c>
      <c r="AP4" t="s">
        <v>69</v>
      </c>
      <c r="AQ4">
        <v>470</v>
      </c>
      <c r="AR4" t="s">
        <v>249</v>
      </c>
      <c r="AS4" t="s">
        <v>69</v>
      </c>
      <c r="AT4" t="s">
        <v>117</v>
      </c>
      <c r="AU4" t="s">
        <v>69</v>
      </c>
      <c r="AV4">
        <v>121.154</v>
      </c>
      <c r="AW4" t="s">
        <v>69</v>
      </c>
      <c r="AX4" t="s">
        <v>69</v>
      </c>
      <c r="AY4">
        <v>473</v>
      </c>
      <c r="AZ4" t="s">
        <v>156</v>
      </c>
      <c r="BA4" t="s">
        <v>69</v>
      </c>
      <c r="BB4" t="s">
        <v>120</v>
      </c>
      <c r="BC4" t="s">
        <v>69</v>
      </c>
      <c r="BD4">
        <v>133.10400000000001</v>
      </c>
      <c r="BE4" t="s">
        <v>69</v>
      </c>
      <c r="BF4" t="s">
        <v>69</v>
      </c>
      <c r="BG4">
        <v>492</v>
      </c>
      <c r="BH4" t="s">
        <v>149</v>
      </c>
      <c r="BI4" t="s">
        <v>69</v>
      </c>
      <c r="BJ4" t="s">
        <v>150</v>
      </c>
      <c r="BK4" t="s">
        <v>69</v>
      </c>
      <c r="BL4">
        <v>119.119</v>
      </c>
      <c r="BM4" t="s">
        <v>69</v>
      </c>
      <c r="BN4" t="s">
        <v>69</v>
      </c>
      <c r="BO4">
        <v>494</v>
      </c>
      <c r="BP4" t="s">
        <v>250</v>
      </c>
      <c r="BQ4" t="s">
        <v>69</v>
      </c>
      <c r="BR4" t="s">
        <v>152</v>
      </c>
      <c r="BS4" t="s">
        <v>69</v>
      </c>
      <c r="BT4">
        <v>204.22800000000001</v>
      </c>
      <c r="BU4" t="s">
        <v>69</v>
      </c>
      <c r="BV4" t="s">
        <v>69</v>
      </c>
      <c r="BW4">
        <v>496</v>
      </c>
      <c r="BX4" t="s">
        <v>155</v>
      </c>
      <c r="BY4" t="s">
        <v>69</v>
      </c>
      <c r="BZ4" t="s">
        <v>150</v>
      </c>
      <c r="CA4" t="s">
        <v>69</v>
      </c>
      <c r="CB4">
        <v>105.093</v>
      </c>
      <c r="CC4" t="s">
        <v>69</v>
      </c>
      <c r="CD4" t="s">
        <v>69</v>
      </c>
      <c r="CE4">
        <v>498</v>
      </c>
      <c r="CF4" t="s">
        <v>249</v>
      </c>
      <c r="CG4" t="s">
        <v>69</v>
      </c>
      <c r="CH4" t="s">
        <v>117</v>
      </c>
      <c r="CI4" t="s">
        <v>69</v>
      </c>
      <c r="CJ4">
        <v>121.154</v>
      </c>
      <c r="CK4" t="s">
        <v>69</v>
      </c>
      <c r="CL4" t="s">
        <v>69</v>
      </c>
      <c r="CM4">
        <v>503</v>
      </c>
      <c r="CN4" t="s">
        <v>74</v>
      </c>
      <c r="CO4" t="s">
        <v>69</v>
      </c>
      <c r="CP4" t="s">
        <v>75</v>
      </c>
      <c r="CQ4" t="s">
        <v>69</v>
      </c>
      <c r="CR4">
        <v>174.203</v>
      </c>
      <c r="CS4" t="s">
        <v>69</v>
      </c>
      <c r="CT4" t="s">
        <v>69</v>
      </c>
      <c r="CU4">
        <v>504</v>
      </c>
      <c r="CV4" t="s">
        <v>146</v>
      </c>
      <c r="CW4" t="s">
        <v>69</v>
      </c>
      <c r="CX4" t="s">
        <v>71</v>
      </c>
      <c r="CY4" t="s">
        <v>69</v>
      </c>
      <c r="CZ4">
        <v>115.13200000000001</v>
      </c>
      <c r="DA4" t="s">
        <v>69</v>
      </c>
      <c r="DB4" t="s">
        <v>69</v>
      </c>
      <c r="DC4">
        <v>505</v>
      </c>
      <c r="DD4" t="s">
        <v>70</v>
      </c>
      <c r="DE4" t="s">
        <v>69</v>
      </c>
      <c r="DF4" t="s">
        <v>71</v>
      </c>
      <c r="DG4" t="s">
        <v>69</v>
      </c>
      <c r="DH4">
        <v>75.066999999999993</v>
      </c>
      <c r="DI4" t="s">
        <v>69</v>
      </c>
      <c r="DJ4" t="s">
        <v>69</v>
      </c>
    </row>
    <row r="5" spans="1:114" x14ac:dyDescent="0.25">
      <c r="A5">
        <v>7</v>
      </c>
      <c r="B5" t="str">
        <f>HYPERLINK("http://www.ncbi.nlm.nih.gov/protein/XP_008984970.1","XP_008984970.1")</f>
        <v>XP_008984970.1</v>
      </c>
      <c r="C5">
        <v>87664</v>
      </c>
      <c r="D5" t="str">
        <f>HYPERLINK("http://www.ncbi.nlm.nih.gov/Taxonomy/Browser/wwwtax.cgi?mode=Info&amp;id=9483&amp;lvl=3&amp;lin=f&amp;keep=1&amp;srchmode=1&amp;unlock","9483")</f>
        <v>9483</v>
      </c>
      <c r="E5" t="s">
        <v>66</v>
      </c>
      <c r="F5" t="str">
        <f>HYPERLINK("http://www.ncbi.nlm.nih.gov/Taxonomy/Browser/wwwtax.cgi?mode=Info&amp;id=9483&amp;lvl=3&amp;lin=f&amp;keep=1&amp;srchmode=1&amp;unlock","Callithrix jacchus")</f>
        <v>Callithrix jacchus</v>
      </c>
      <c r="G5" t="s">
        <v>106</v>
      </c>
      <c r="H5" t="str">
        <f>HYPERLINK("http://www.ncbi.nlm.nih.gov/protein/XP_008984970.1","transmembrane protease serine 2 isoform X1")</f>
        <v>transmembrane protease serine 2 isoform X1</v>
      </c>
      <c r="I5" t="s">
        <v>269</v>
      </c>
      <c r="J5" t="s">
        <v>69</v>
      </c>
      <c r="K5">
        <v>280</v>
      </c>
      <c r="L5" t="s">
        <v>115</v>
      </c>
      <c r="M5" t="s">
        <v>69</v>
      </c>
      <c r="N5" t="s">
        <v>71</v>
      </c>
      <c r="O5" t="s">
        <v>69</v>
      </c>
      <c r="P5">
        <v>117.148</v>
      </c>
      <c r="Q5" t="s">
        <v>69</v>
      </c>
      <c r="R5" t="s">
        <v>69</v>
      </c>
      <c r="S5">
        <v>300</v>
      </c>
      <c r="T5" t="s">
        <v>76</v>
      </c>
      <c r="U5" t="s">
        <v>69</v>
      </c>
      <c r="V5" t="s">
        <v>75</v>
      </c>
      <c r="W5" t="s">
        <v>69</v>
      </c>
      <c r="X5">
        <v>146.18899999999999</v>
      </c>
      <c r="Y5" t="s">
        <v>69</v>
      </c>
      <c r="Z5" t="s">
        <v>69</v>
      </c>
      <c r="AA5">
        <v>419</v>
      </c>
      <c r="AB5" t="s">
        <v>72</v>
      </c>
      <c r="AC5" t="s">
        <v>69</v>
      </c>
      <c r="AD5" t="s">
        <v>71</v>
      </c>
      <c r="AE5" t="s">
        <v>69</v>
      </c>
      <c r="AF5">
        <v>131.17500000000001</v>
      </c>
      <c r="AG5" t="s">
        <v>69</v>
      </c>
      <c r="AH5" t="s">
        <v>69</v>
      </c>
      <c r="AI5">
        <v>435</v>
      </c>
      <c r="AJ5" t="s">
        <v>156</v>
      </c>
      <c r="AK5" t="s">
        <v>69</v>
      </c>
      <c r="AL5" t="s">
        <v>120</v>
      </c>
      <c r="AM5" t="s">
        <v>69</v>
      </c>
      <c r="AN5">
        <v>133.10400000000001</v>
      </c>
      <c r="AO5" t="s">
        <v>69</v>
      </c>
      <c r="AP5" t="s">
        <v>69</v>
      </c>
      <c r="AQ5">
        <v>437</v>
      </c>
      <c r="AR5" t="s">
        <v>249</v>
      </c>
      <c r="AS5" t="s">
        <v>69</v>
      </c>
      <c r="AT5" t="s">
        <v>117</v>
      </c>
      <c r="AU5" t="s">
        <v>69</v>
      </c>
      <c r="AV5">
        <v>121.154</v>
      </c>
      <c r="AW5" t="s">
        <v>69</v>
      </c>
      <c r="AX5" t="s">
        <v>69</v>
      </c>
      <c r="AY5">
        <v>440</v>
      </c>
      <c r="AZ5" t="s">
        <v>156</v>
      </c>
      <c r="BA5" t="s">
        <v>69</v>
      </c>
      <c r="BB5" t="s">
        <v>120</v>
      </c>
      <c r="BC5" t="s">
        <v>69</v>
      </c>
      <c r="BD5">
        <v>133.10400000000001</v>
      </c>
      <c r="BE5" t="s">
        <v>69</v>
      </c>
      <c r="BF5" t="s">
        <v>69</v>
      </c>
      <c r="BG5">
        <v>459</v>
      </c>
      <c r="BH5" t="s">
        <v>149</v>
      </c>
      <c r="BI5" t="s">
        <v>69</v>
      </c>
      <c r="BJ5" t="s">
        <v>150</v>
      </c>
      <c r="BK5" t="s">
        <v>69</v>
      </c>
      <c r="BL5">
        <v>119.119</v>
      </c>
      <c r="BM5" t="s">
        <v>69</v>
      </c>
      <c r="BN5" t="s">
        <v>69</v>
      </c>
      <c r="BO5">
        <v>461</v>
      </c>
      <c r="BP5" t="s">
        <v>250</v>
      </c>
      <c r="BQ5" t="s">
        <v>69</v>
      </c>
      <c r="BR5" t="s">
        <v>152</v>
      </c>
      <c r="BS5" t="s">
        <v>69</v>
      </c>
      <c r="BT5">
        <v>204.22800000000001</v>
      </c>
      <c r="BU5" t="s">
        <v>69</v>
      </c>
      <c r="BV5" t="s">
        <v>69</v>
      </c>
      <c r="BW5">
        <v>463</v>
      </c>
      <c r="BX5" t="s">
        <v>155</v>
      </c>
      <c r="BY5" t="s">
        <v>69</v>
      </c>
      <c r="BZ5" t="s">
        <v>150</v>
      </c>
      <c r="CA5" t="s">
        <v>69</v>
      </c>
      <c r="CB5">
        <v>105.093</v>
      </c>
      <c r="CC5" t="s">
        <v>69</v>
      </c>
      <c r="CD5" t="s">
        <v>69</v>
      </c>
      <c r="CE5">
        <v>465</v>
      </c>
      <c r="CF5" t="s">
        <v>249</v>
      </c>
      <c r="CG5" t="s">
        <v>69</v>
      </c>
      <c r="CH5" t="s">
        <v>117</v>
      </c>
      <c r="CI5" t="s">
        <v>69</v>
      </c>
      <c r="CJ5">
        <v>121.154</v>
      </c>
      <c r="CK5" t="s">
        <v>69</v>
      </c>
      <c r="CL5" t="s">
        <v>69</v>
      </c>
      <c r="CM5">
        <v>470</v>
      </c>
      <c r="CN5" t="s">
        <v>74</v>
      </c>
      <c r="CO5" t="s">
        <v>69</v>
      </c>
      <c r="CP5" t="s">
        <v>75</v>
      </c>
      <c r="CQ5" t="s">
        <v>69</v>
      </c>
      <c r="CR5">
        <v>174.203</v>
      </c>
      <c r="CS5" t="s">
        <v>69</v>
      </c>
      <c r="CT5" t="s">
        <v>69</v>
      </c>
      <c r="CU5">
        <v>471</v>
      </c>
      <c r="CV5" t="s">
        <v>146</v>
      </c>
      <c r="CW5" t="s">
        <v>69</v>
      </c>
      <c r="CX5" t="s">
        <v>71</v>
      </c>
      <c r="CY5" t="s">
        <v>69</v>
      </c>
      <c r="CZ5">
        <v>115.13200000000001</v>
      </c>
      <c r="DA5" t="s">
        <v>69</v>
      </c>
      <c r="DB5" t="s">
        <v>69</v>
      </c>
      <c r="DC5">
        <v>472</v>
      </c>
      <c r="DD5" t="s">
        <v>70</v>
      </c>
      <c r="DE5" t="s">
        <v>69</v>
      </c>
      <c r="DF5" t="s">
        <v>71</v>
      </c>
      <c r="DG5" t="s">
        <v>69</v>
      </c>
      <c r="DH5">
        <v>75.066999999999993</v>
      </c>
      <c r="DI5" t="s">
        <v>69</v>
      </c>
      <c r="DJ5" t="s">
        <v>69</v>
      </c>
    </row>
    <row r="6" spans="1:114" x14ac:dyDescent="0.25">
      <c r="A6">
        <v>7</v>
      </c>
      <c r="B6" t="str">
        <f>HYPERLINK("http://www.ncbi.nlm.nih.gov/protein/XP_028701148.1","XP_028701148.1")</f>
        <v>XP_028701148.1</v>
      </c>
      <c r="C6">
        <v>178339</v>
      </c>
      <c r="D6" t="str">
        <f>HYPERLINK("http://www.ncbi.nlm.nih.gov/Taxonomy/Browser/wwwtax.cgi?mode=Info&amp;id=9544&amp;lvl=3&amp;lin=f&amp;keep=1&amp;srchmode=1&amp;unlock","9544")</f>
        <v>9544</v>
      </c>
      <c r="E6" t="s">
        <v>66</v>
      </c>
      <c r="F6" t="str">
        <f>HYPERLINK("http://www.ncbi.nlm.nih.gov/Taxonomy/Browser/wwwtax.cgi?mode=Info&amp;id=9544&amp;lvl=3&amp;lin=f&amp;keep=1&amp;srchmode=1&amp;unlock","Macaca mulatta")</f>
        <v>Macaca mulatta</v>
      </c>
      <c r="G6" t="s">
        <v>77</v>
      </c>
      <c r="H6" t="str">
        <f>HYPERLINK("http://www.ncbi.nlm.nih.gov/protein/XP_028701148.1","transmembrane protease serine 2 isoform X1")</f>
        <v>transmembrane protease serine 2 isoform X1</v>
      </c>
      <c r="I6" t="s">
        <v>269</v>
      </c>
      <c r="J6" t="s">
        <v>69</v>
      </c>
      <c r="K6">
        <v>322</v>
      </c>
      <c r="L6" t="s">
        <v>115</v>
      </c>
      <c r="M6" t="s">
        <v>69</v>
      </c>
      <c r="N6" t="s">
        <v>71</v>
      </c>
      <c r="O6" t="s">
        <v>69</v>
      </c>
      <c r="P6">
        <v>117.148</v>
      </c>
      <c r="Q6" t="s">
        <v>69</v>
      </c>
      <c r="R6" t="s">
        <v>69</v>
      </c>
      <c r="S6">
        <v>342</v>
      </c>
      <c r="T6" t="s">
        <v>76</v>
      </c>
      <c r="U6" t="s">
        <v>69</v>
      </c>
      <c r="V6" t="s">
        <v>75</v>
      </c>
      <c r="W6" t="s">
        <v>69</v>
      </c>
      <c r="X6">
        <v>146.18899999999999</v>
      </c>
      <c r="Y6" t="s">
        <v>69</v>
      </c>
      <c r="Z6" t="s">
        <v>69</v>
      </c>
      <c r="AA6">
        <v>461</v>
      </c>
      <c r="AB6" t="s">
        <v>72</v>
      </c>
      <c r="AC6" t="s">
        <v>69</v>
      </c>
      <c r="AD6" t="s">
        <v>71</v>
      </c>
      <c r="AE6" t="s">
        <v>69</v>
      </c>
      <c r="AF6">
        <v>131.17500000000001</v>
      </c>
      <c r="AG6" t="s">
        <v>69</v>
      </c>
      <c r="AH6" t="s">
        <v>69</v>
      </c>
      <c r="AI6">
        <v>477</v>
      </c>
      <c r="AJ6" t="s">
        <v>156</v>
      </c>
      <c r="AK6" t="s">
        <v>69</v>
      </c>
      <c r="AL6" t="s">
        <v>120</v>
      </c>
      <c r="AM6" t="s">
        <v>69</v>
      </c>
      <c r="AN6">
        <v>133.10400000000001</v>
      </c>
      <c r="AO6" t="s">
        <v>69</v>
      </c>
      <c r="AP6" t="s">
        <v>69</v>
      </c>
      <c r="AQ6">
        <v>479</v>
      </c>
      <c r="AR6" t="s">
        <v>249</v>
      </c>
      <c r="AS6" t="s">
        <v>69</v>
      </c>
      <c r="AT6" t="s">
        <v>117</v>
      </c>
      <c r="AU6" t="s">
        <v>69</v>
      </c>
      <c r="AV6">
        <v>121.154</v>
      </c>
      <c r="AW6" t="s">
        <v>69</v>
      </c>
      <c r="AX6" t="s">
        <v>69</v>
      </c>
      <c r="AY6">
        <v>482</v>
      </c>
      <c r="AZ6" t="s">
        <v>156</v>
      </c>
      <c r="BA6" t="s">
        <v>69</v>
      </c>
      <c r="BB6" t="s">
        <v>120</v>
      </c>
      <c r="BC6" t="s">
        <v>69</v>
      </c>
      <c r="BD6">
        <v>133.10400000000001</v>
      </c>
      <c r="BE6" t="s">
        <v>69</v>
      </c>
      <c r="BF6" t="s">
        <v>69</v>
      </c>
      <c r="BG6">
        <v>501</v>
      </c>
      <c r="BH6" t="s">
        <v>149</v>
      </c>
      <c r="BI6" t="s">
        <v>69</v>
      </c>
      <c r="BJ6" t="s">
        <v>150</v>
      </c>
      <c r="BK6" t="s">
        <v>69</v>
      </c>
      <c r="BL6">
        <v>119.119</v>
      </c>
      <c r="BM6" t="s">
        <v>69</v>
      </c>
      <c r="BN6" t="s">
        <v>69</v>
      </c>
      <c r="BO6">
        <v>503</v>
      </c>
      <c r="BP6" t="s">
        <v>250</v>
      </c>
      <c r="BQ6" t="s">
        <v>69</v>
      </c>
      <c r="BR6" t="s">
        <v>152</v>
      </c>
      <c r="BS6" t="s">
        <v>69</v>
      </c>
      <c r="BT6">
        <v>204.22800000000001</v>
      </c>
      <c r="BU6" t="s">
        <v>69</v>
      </c>
      <c r="BV6" t="s">
        <v>69</v>
      </c>
      <c r="BW6">
        <v>505</v>
      </c>
      <c r="BX6" t="s">
        <v>155</v>
      </c>
      <c r="BY6" t="s">
        <v>69</v>
      </c>
      <c r="BZ6" t="s">
        <v>150</v>
      </c>
      <c r="CA6" t="s">
        <v>69</v>
      </c>
      <c r="CB6">
        <v>105.093</v>
      </c>
      <c r="CC6" t="s">
        <v>69</v>
      </c>
      <c r="CD6" t="s">
        <v>69</v>
      </c>
      <c r="CE6">
        <v>507</v>
      </c>
      <c r="CF6" t="s">
        <v>249</v>
      </c>
      <c r="CG6" t="s">
        <v>69</v>
      </c>
      <c r="CH6" t="s">
        <v>117</v>
      </c>
      <c r="CI6" t="s">
        <v>69</v>
      </c>
      <c r="CJ6">
        <v>121.154</v>
      </c>
      <c r="CK6" t="s">
        <v>69</v>
      </c>
      <c r="CL6" t="s">
        <v>69</v>
      </c>
      <c r="CM6">
        <v>512</v>
      </c>
      <c r="CN6" t="s">
        <v>74</v>
      </c>
      <c r="CO6" t="s">
        <v>69</v>
      </c>
      <c r="CP6" t="s">
        <v>75</v>
      </c>
      <c r="CQ6" t="s">
        <v>69</v>
      </c>
      <c r="CR6">
        <v>174.203</v>
      </c>
      <c r="CS6" t="s">
        <v>69</v>
      </c>
      <c r="CT6" t="s">
        <v>69</v>
      </c>
      <c r="CU6">
        <v>513</v>
      </c>
      <c r="CV6" t="s">
        <v>146</v>
      </c>
      <c r="CW6" t="s">
        <v>69</v>
      </c>
      <c r="CX6" t="s">
        <v>71</v>
      </c>
      <c r="CY6" t="s">
        <v>69</v>
      </c>
      <c r="CZ6">
        <v>115.13200000000001</v>
      </c>
      <c r="DA6" t="s">
        <v>69</v>
      </c>
      <c r="DB6" t="s">
        <v>69</v>
      </c>
      <c r="DC6">
        <v>514</v>
      </c>
      <c r="DD6" t="s">
        <v>70</v>
      </c>
      <c r="DE6" t="s">
        <v>69</v>
      </c>
      <c r="DF6" t="s">
        <v>71</v>
      </c>
      <c r="DG6" t="s">
        <v>69</v>
      </c>
      <c r="DH6">
        <v>75.066999999999993</v>
      </c>
      <c r="DI6" t="s">
        <v>69</v>
      </c>
      <c r="DJ6" t="s">
        <v>69</v>
      </c>
    </row>
    <row r="7" spans="1:114" x14ac:dyDescent="0.25">
      <c r="A7">
        <v>7</v>
      </c>
      <c r="B7" t="str">
        <f>HYPERLINK("http://www.ncbi.nlm.nih.gov/protein/XP_037841356.1","XP_037841356.1")</f>
        <v>XP_037841356.1</v>
      </c>
      <c r="C7">
        <v>62302</v>
      </c>
      <c r="D7" t="str">
        <f>HYPERLINK("http://www.ncbi.nlm.nih.gov/Taxonomy/Browser/wwwtax.cgi?mode=Info&amp;id=60711&amp;lvl=3&amp;lin=f&amp;keep=1&amp;srchmode=1&amp;unlock","60711")</f>
        <v>60711</v>
      </c>
      <c r="E7" t="s">
        <v>66</v>
      </c>
      <c r="F7" t="str">
        <f>HYPERLINK("http://www.ncbi.nlm.nih.gov/Taxonomy/Browser/wwwtax.cgi?mode=Info&amp;id=60711&amp;lvl=3&amp;lin=f&amp;keep=1&amp;srchmode=1&amp;unlock","Chlorocebus sabaeus")</f>
        <v>Chlorocebus sabaeus</v>
      </c>
      <c r="G7" t="s">
        <v>78</v>
      </c>
      <c r="H7" t="str">
        <f>HYPERLINK("http://www.ncbi.nlm.nih.gov/protein/XP_037841356.1","transmembrane protease serine 2")</f>
        <v>transmembrane protease serine 2</v>
      </c>
      <c r="I7" t="s">
        <v>269</v>
      </c>
      <c r="J7" t="s">
        <v>69</v>
      </c>
      <c r="K7">
        <v>449</v>
      </c>
      <c r="L7" t="s">
        <v>115</v>
      </c>
      <c r="M7" t="s">
        <v>69</v>
      </c>
      <c r="N7" t="s">
        <v>71</v>
      </c>
      <c r="O7" t="s">
        <v>69</v>
      </c>
      <c r="P7">
        <v>117.148</v>
      </c>
      <c r="Q7" t="s">
        <v>69</v>
      </c>
      <c r="R7" t="s">
        <v>69</v>
      </c>
      <c r="S7">
        <v>469</v>
      </c>
      <c r="T7" t="s">
        <v>76</v>
      </c>
      <c r="U7" t="s">
        <v>69</v>
      </c>
      <c r="V7" t="s">
        <v>75</v>
      </c>
      <c r="W7" t="s">
        <v>69</v>
      </c>
      <c r="X7">
        <v>146.18899999999999</v>
      </c>
      <c r="Y7" t="s">
        <v>69</v>
      </c>
      <c r="Z7" t="s">
        <v>69</v>
      </c>
      <c r="AA7">
        <v>588</v>
      </c>
      <c r="AB7" t="s">
        <v>72</v>
      </c>
      <c r="AC7" t="s">
        <v>69</v>
      </c>
      <c r="AD7" t="s">
        <v>71</v>
      </c>
      <c r="AE7" t="s">
        <v>69</v>
      </c>
      <c r="AF7">
        <v>131.17500000000001</v>
      </c>
      <c r="AG7" t="s">
        <v>69</v>
      </c>
      <c r="AH7" t="s">
        <v>69</v>
      </c>
      <c r="AI7">
        <v>604</v>
      </c>
      <c r="AJ7" t="s">
        <v>156</v>
      </c>
      <c r="AK7" t="s">
        <v>69</v>
      </c>
      <c r="AL7" t="s">
        <v>120</v>
      </c>
      <c r="AM7" t="s">
        <v>69</v>
      </c>
      <c r="AN7">
        <v>133.10400000000001</v>
      </c>
      <c r="AO7" t="s">
        <v>69</v>
      </c>
      <c r="AP7" t="s">
        <v>69</v>
      </c>
      <c r="AQ7">
        <v>606</v>
      </c>
      <c r="AR7" t="s">
        <v>249</v>
      </c>
      <c r="AS7" t="s">
        <v>69</v>
      </c>
      <c r="AT7" t="s">
        <v>117</v>
      </c>
      <c r="AU7" t="s">
        <v>69</v>
      </c>
      <c r="AV7">
        <v>121.154</v>
      </c>
      <c r="AW7" t="s">
        <v>69</v>
      </c>
      <c r="AX7" t="s">
        <v>69</v>
      </c>
      <c r="AY7">
        <v>609</v>
      </c>
      <c r="AZ7" t="s">
        <v>156</v>
      </c>
      <c r="BA7" t="s">
        <v>69</v>
      </c>
      <c r="BB7" t="s">
        <v>120</v>
      </c>
      <c r="BC7" t="s">
        <v>69</v>
      </c>
      <c r="BD7">
        <v>133.10400000000001</v>
      </c>
      <c r="BE7" t="s">
        <v>69</v>
      </c>
      <c r="BF7" t="s">
        <v>69</v>
      </c>
      <c r="BG7">
        <v>628</v>
      </c>
      <c r="BH7" t="s">
        <v>149</v>
      </c>
      <c r="BI7" t="s">
        <v>69</v>
      </c>
      <c r="BJ7" t="s">
        <v>150</v>
      </c>
      <c r="BK7" t="s">
        <v>69</v>
      </c>
      <c r="BL7">
        <v>119.119</v>
      </c>
      <c r="BM7" t="s">
        <v>69</v>
      </c>
      <c r="BN7" t="s">
        <v>69</v>
      </c>
      <c r="BO7">
        <v>630</v>
      </c>
      <c r="BP7" t="s">
        <v>250</v>
      </c>
      <c r="BQ7" t="s">
        <v>69</v>
      </c>
      <c r="BR7" t="s">
        <v>152</v>
      </c>
      <c r="BS7" t="s">
        <v>69</v>
      </c>
      <c r="BT7">
        <v>204.22800000000001</v>
      </c>
      <c r="BU7" t="s">
        <v>69</v>
      </c>
      <c r="BV7" t="s">
        <v>69</v>
      </c>
      <c r="BW7">
        <v>632</v>
      </c>
      <c r="BX7" t="s">
        <v>155</v>
      </c>
      <c r="BY7" t="s">
        <v>69</v>
      </c>
      <c r="BZ7" t="s">
        <v>150</v>
      </c>
      <c r="CA7" t="s">
        <v>69</v>
      </c>
      <c r="CB7">
        <v>105.093</v>
      </c>
      <c r="CC7" t="s">
        <v>69</v>
      </c>
      <c r="CD7" t="s">
        <v>69</v>
      </c>
      <c r="CE7">
        <v>634</v>
      </c>
      <c r="CF7" t="s">
        <v>249</v>
      </c>
      <c r="CG7" t="s">
        <v>69</v>
      </c>
      <c r="CH7" t="s">
        <v>117</v>
      </c>
      <c r="CI7" t="s">
        <v>69</v>
      </c>
      <c r="CJ7">
        <v>121.154</v>
      </c>
      <c r="CK7" t="s">
        <v>69</v>
      </c>
      <c r="CL7" t="s">
        <v>69</v>
      </c>
      <c r="CM7">
        <v>639</v>
      </c>
      <c r="CN7" t="s">
        <v>74</v>
      </c>
      <c r="CO7" t="s">
        <v>69</v>
      </c>
      <c r="CP7" t="s">
        <v>75</v>
      </c>
      <c r="CQ7" t="s">
        <v>69</v>
      </c>
      <c r="CR7">
        <v>174.203</v>
      </c>
      <c r="CS7" t="s">
        <v>69</v>
      </c>
      <c r="CT7" t="s">
        <v>69</v>
      </c>
      <c r="CU7">
        <v>640</v>
      </c>
      <c r="CV7" t="s">
        <v>146</v>
      </c>
      <c r="CW7" t="s">
        <v>69</v>
      </c>
      <c r="CX7" t="s">
        <v>71</v>
      </c>
      <c r="CY7" t="s">
        <v>69</v>
      </c>
      <c r="CZ7">
        <v>115.13200000000001</v>
      </c>
      <c r="DA7" t="s">
        <v>69</v>
      </c>
      <c r="DB7" t="s">
        <v>69</v>
      </c>
      <c r="DC7">
        <v>641</v>
      </c>
      <c r="DD7" t="s">
        <v>70</v>
      </c>
      <c r="DE7" t="s">
        <v>69</v>
      </c>
      <c r="DF7" t="s">
        <v>71</v>
      </c>
      <c r="DG7" t="s">
        <v>69</v>
      </c>
      <c r="DH7">
        <v>75.066999999999993</v>
      </c>
      <c r="DI7" t="s">
        <v>69</v>
      </c>
      <c r="DJ7" t="s">
        <v>69</v>
      </c>
    </row>
    <row r="8" spans="1:114" x14ac:dyDescent="0.25">
      <c r="A8">
        <v>7</v>
      </c>
      <c r="B8" t="str">
        <f>HYPERLINK("http://www.ncbi.nlm.nih.gov/protein/XP_047420294.1","XP_047420294.1")</f>
        <v>XP_047420294.1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HYPERLINK("http://www.ncbi.nlm.nih.gov/protein/XP_047420294.1","transmembrane protease serine 2-like")</f>
        <v>transmembrane protease serine 2-like</v>
      </c>
      <c r="I8" t="s">
        <v>269</v>
      </c>
      <c r="J8" t="s">
        <v>69</v>
      </c>
      <c r="K8">
        <v>279</v>
      </c>
      <c r="L8" t="s">
        <v>145</v>
      </c>
      <c r="M8" t="s">
        <v>153</v>
      </c>
      <c r="N8" t="s">
        <v>71</v>
      </c>
      <c r="O8" t="s">
        <v>69</v>
      </c>
      <c r="P8">
        <v>131.17500000000001</v>
      </c>
      <c r="Q8" t="s">
        <v>69</v>
      </c>
      <c r="R8" t="s">
        <v>69</v>
      </c>
      <c r="S8">
        <v>299</v>
      </c>
      <c r="T8" t="s">
        <v>119</v>
      </c>
      <c r="U8" t="s">
        <v>153</v>
      </c>
      <c r="V8" t="s">
        <v>120</v>
      </c>
      <c r="W8" t="s">
        <v>153</v>
      </c>
      <c r="X8">
        <v>147.131</v>
      </c>
      <c r="Y8" t="s">
        <v>69</v>
      </c>
      <c r="Z8" t="s">
        <v>69</v>
      </c>
      <c r="AA8">
        <v>418</v>
      </c>
      <c r="AB8" t="s">
        <v>72</v>
      </c>
      <c r="AC8" t="s">
        <v>69</v>
      </c>
      <c r="AD8" t="s">
        <v>71</v>
      </c>
      <c r="AE8" t="s">
        <v>69</v>
      </c>
      <c r="AF8">
        <v>131.17500000000001</v>
      </c>
      <c r="AG8" t="s">
        <v>69</v>
      </c>
      <c r="AH8" t="s">
        <v>69</v>
      </c>
      <c r="AI8">
        <v>434</v>
      </c>
      <c r="AJ8" t="s">
        <v>156</v>
      </c>
      <c r="AK8" t="s">
        <v>69</v>
      </c>
      <c r="AL8" t="s">
        <v>120</v>
      </c>
      <c r="AM8" t="s">
        <v>69</v>
      </c>
      <c r="AN8">
        <v>133.10400000000001</v>
      </c>
      <c r="AO8" t="s">
        <v>69</v>
      </c>
      <c r="AP8" t="s">
        <v>69</v>
      </c>
      <c r="AQ8">
        <v>436</v>
      </c>
      <c r="AR8" t="s">
        <v>249</v>
      </c>
      <c r="AS8" t="s">
        <v>69</v>
      </c>
      <c r="AT8" t="s">
        <v>117</v>
      </c>
      <c r="AU8" t="s">
        <v>69</v>
      </c>
      <c r="AV8">
        <v>121.154</v>
      </c>
      <c r="AW8" t="s">
        <v>69</v>
      </c>
      <c r="AX8" t="s">
        <v>69</v>
      </c>
      <c r="AY8">
        <v>439</v>
      </c>
      <c r="AZ8" t="s">
        <v>156</v>
      </c>
      <c r="BA8" t="s">
        <v>69</v>
      </c>
      <c r="BB8" t="s">
        <v>120</v>
      </c>
      <c r="BC8" t="s">
        <v>69</v>
      </c>
      <c r="BD8">
        <v>133.10400000000001</v>
      </c>
      <c r="BE8" t="s">
        <v>69</v>
      </c>
      <c r="BF8" t="s">
        <v>69</v>
      </c>
      <c r="BG8">
        <v>458</v>
      </c>
      <c r="BH8" t="s">
        <v>149</v>
      </c>
      <c r="BI8" t="s">
        <v>69</v>
      </c>
      <c r="BJ8" t="s">
        <v>150</v>
      </c>
      <c r="BK8" t="s">
        <v>69</v>
      </c>
      <c r="BL8">
        <v>119.119</v>
      </c>
      <c r="BM8" t="s">
        <v>69</v>
      </c>
      <c r="BN8" t="s">
        <v>69</v>
      </c>
      <c r="BO8">
        <v>460</v>
      </c>
      <c r="BP8" t="s">
        <v>250</v>
      </c>
      <c r="BQ8" t="s">
        <v>69</v>
      </c>
      <c r="BR8" t="s">
        <v>152</v>
      </c>
      <c r="BS8" t="s">
        <v>69</v>
      </c>
      <c r="BT8">
        <v>204.22800000000001</v>
      </c>
      <c r="BU8" t="s">
        <v>69</v>
      </c>
      <c r="BV8" t="s">
        <v>69</v>
      </c>
      <c r="BW8">
        <v>462</v>
      </c>
      <c r="BX8" t="s">
        <v>155</v>
      </c>
      <c r="BY8" t="s">
        <v>69</v>
      </c>
      <c r="BZ8" t="s">
        <v>150</v>
      </c>
      <c r="CA8" t="s">
        <v>69</v>
      </c>
      <c r="CB8">
        <v>105.093</v>
      </c>
      <c r="CC8" t="s">
        <v>69</v>
      </c>
      <c r="CD8" t="s">
        <v>69</v>
      </c>
      <c r="CE8">
        <v>464</v>
      </c>
      <c r="CF8" t="s">
        <v>249</v>
      </c>
      <c r="CG8" t="s">
        <v>69</v>
      </c>
      <c r="CH8" t="s">
        <v>117</v>
      </c>
      <c r="CI8" t="s">
        <v>69</v>
      </c>
      <c r="CJ8">
        <v>121.154</v>
      </c>
      <c r="CK8" t="s">
        <v>69</v>
      </c>
      <c r="CL8" t="s">
        <v>69</v>
      </c>
      <c r="CM8">
        <v>469</v>
      </c>
      <c r="CN8" t="s">
        <v>74</v>
      </c>
      <c r="CO8" t="s">
        <v>69</v>
      </c>
      <c r="CP8" t="s">
        <v>75</v>
      </c>
      <c r="CQ8" t="s">
        <v>69</v>
      </c>
      <c r="CR8">
        <v>174.203</v>
      </c>
      <c r="CS8" t="s">
        <v>69</v>
      </c>
      <c r="CT8" t="s">
        <v>69</v>
      </c>
      <c r="CU8">
        <v>470</v>
      </c>
      <c r="CV8" t="s">
        <v>146</v>
      </c>
      <c r="CW8" t="s">
        <v>69</v>
      </c>
      <c r="CX8" t="s">
        <v>71</v>
      </c>
      <c r="CY8" t="s">
        <v>69</v>
      </c>
      <c r="CZ8">
        <v>115.13200000000001</v>
      </c>
      <c r="DA8" t="s">
        <v>69</v>
      </c>
      <c r="DB8" t="s">
        <v>69</v>
      </c>
      <c r="DC8">
        <v>471</v>
      </c>
      <c r="DD8" t="s">
        <v>70</v>
      </c>
      <c r="DE8" t="s">
        <v>69</v>
      </c>
      <c r="DF8" t="s">
        <v>71</v>
      </c>
      <c r="DG8" t="s">
        <v>69</v>
      </c>
      <c r="DH8">
        <v>75.066999999999993</v>
      </c>
      <c r="DI8" t="s">
        <v>69</v>
      </c>
      <c r="DJ8" t="s">
        <v>69</v>
      </c>
    </row>
    <row r="9" spans="1:114" x14ac:dyDescent="0.25">
      <c r="A9">
        <v>7</v>
      </c>
      <c r="B9" t="str">
        <f>HYPERLINK("http://www.ncbi.nlm.nih.gov/protein/XP_044106830.1","XP_044106830.1")</f>
        <v>XP_044106830.1</v>
      </c>
      <c r="C9">
        <v>44640</v>
      </c>
      <c r="D9" t="str">
        <f>HYPERLINK("http://www.ncbi.nlm.nih.gov/Taxonomy/Browser/wwwtax.cgi?mode=Info&amp;id=452646&amp;lvl=3&amp;lin=f&amp;keep=1&amp;srchmode=1&amp;unlock","452646")</f>
        <v>452646</v>
      </c>
      <c r="E9" t="s">
        <v>66</v>
      </c>
      <c r="F9" t="str">
        <f>HYPERLINK("http://www.ncbi.nlm.nih.gov/Taxonomy/Browser/wwwtax.cgi?mode=Info&amp;id=452646&amp;lvl=3&amp;lin=f&amp;keep=1&amp;srchmode=1&amp;unlock","Neogale vison")</f>
        <v>Neogale vison</v>
      </c>
      <c r="G9" t="s">
        <v>96</v>
      </c>
      <c r="H9" t="str">
        <f>HYPERLINK("http://www.ncbi.nlm.nih.gov/protein/XP_044106830.1","transmembrane protease serine 2")</f>
        <v>transmembrane protease serine 2</v>
      </c>
      <c r="I9" t="s">
        <v>269</v>
      </c>
      <c r="J9" t="s">
        <v>69</v>
      </c>
      <c r="K9">
        <v>280</v>
      </c>
      <c r="L9" t="s">
        <v>115</v>
      </c>
      <c r="M9" t="s">
        <v>69</v>
      </c>
      <c r="N9" t="s">
        <v>71</v>
      </c>
      <c r="O9" t="s">
        <v>69</v>
      </c>
      <c r="P9">
        <v>117.148</v>
      </c>
      <c r="Q9" t="s">
        <v>69</v>
      </c>
      <c r="R9" t="s">
        <v>69</v>
      </c>
      <c r="S9">
        <v>300</v>
      </c>
      <c r="T9" t="s">
        <v>119</v>
      </c>
      <c r="U9" t="s">
        <v>153</v>
      </c>
      <c r="V9" t="s">
        <v>120</v>
      </c>
      <c r="W9" t="s">
        <v>153</v>
      </c>
      <c r="X9">
        <v>147.131</v>
      </c>
      <c r="Y9" t="s">
        <v>69</v>
      </c>
      <c r="Z9" t="s">
        <v>69</v>
      </c>
      <c r="AA9">
        <v>419</v>
      </c>
      <c r="AB9" t="s">
        <v>72</v>
      </c>
      <c r="AC9" t="s">
        <v>69</v>
      </c>
      <c r="AD9" t="s">
        <v>71</v>
      </c>
      <c r="AE9" t="s">
        <v>69</v>
      </c>
      <c r="AF9">
        <v>131.17500000000001</v>
      </c>
      <c r="AG9" t="s">
        <v>69</v>
      </c>
      <c r="AH9" t="s">
        <v>69</v>
      </c>
      <c r="AI9">
        <v>435</v>
      </c>
      <c r="AJ9" t="s">
        <v>156</v>
      </c>
      <c r="AK9" t="s">
        <v>69</v>
      </c>
      <c r="AL9" t="s">
        <v>120</v>
      </c>
      <c r="AM9" t="s">
        <v>69</v>
      </c>
      <c r="AN9">
        <v>133.10400000000001</v>
      </c>
      <c r="AO9" t="s">
        <v>69</v>
      </c>
      <c r="AP9" t="s">
        <v>69</v>
      </c>
      <c r="AQ9">
        <v>437</v>
      </c>
      <c r="AR9" t="s">
        <v>249</v>
      </c>
      <c r="AS9" t="s">
        <v>69</v>
      </c>
      <c r="AT9" t="s">
        <v>117</v>
      </c>
      <c r="AU9" t="s">
        <v>69</v>
      </c>
      <c r="AV9">
        <v>121.154</v>
      </c>
      <c r="AW9" t="s">
        <v>69</v>
      </c>
      <c r="AX9" t="s">
        <v>69</v>
      </c>
      <c r="AY9">
        <v>440</v>
      </c>
      <c r="AZ9" t="s">
        <v>156</v>
      </c>
      <c r="BA9" t="s">
        <v>69</v>
      </c>
      <c r="BB9" t="s">
        <v>120</v>
      </c>
      <c r="BC9" t="s">
        <v>69</v>
      </c>
      <c r="BD9">
        <v>133.10400000000001</v>
      </c>
      <c r="BE9" t="s">
        <v>69</v>
      </c>
      <c r="BF9" t="s">
        <v>69</v>
      </c>
      <c r="BG9">
        <v>459</v>
      </c>
      <c r="BH9" t="s">
        <v>149</v>
      </c>
      <c r="BI9" t="s">
        <v>69</v>
      </c>
      <c r="BJ9" t="s">
        <v>150</v>
      </c>
      <c r="BK9" t="s">
        <v>69</v>
      </c>
      <c r="BL9">
        <v>119.119</v>
      </c>
      <c r="BM9" t="s">
        <v>69</v>
      </c>
      <c r="BN9" t="s">
        <v>69</v>
      </c>
      <c r="BO9">
        <v>461</v>
      </c>
      <c r="BP9" t="s">
        <v>250</v>
      </c>
      <c r="BQ9" t="s">
        <v>69</v>
      </c>
      <c r="BR9" t="s">
        <v>152</v>
      </c>
      <c r="BS9" t="s">
        <v>69</v>
      </c>
      <c r="BT9">
        <v>204.22800000000001</v>
      </c>
      <c r="BU9" t="s">
        <v>69</v>
      </c>
      <c r="BV9" t="s">
        <v>69</v>
      </c>
      <c r="BW9">
        <v>463</v>
      </c>
      <c r="BX9" t="s">
        <v>155</v>
      </c>
      <c r="BY9" t="s">
        <v>69</v>
      </c>
      <c r="BZ9" t="s">
        <v>150</v>
      </c>
      <c r="CA9" t="s">
        <v>69</v>
      </c>
      <c r="CB9">
        <v>105.093</v>
      </c>
      <c r="CC9" t="s">
        <v>69</v>
      </c>
      <c r="CD9" t="s">
        <v>69</v>
      </c>
      <c r="CE9">
        <v>465</v>
      </c>
      <c r="CF9" t="s">
        <v>249</v>
      </c>
      <c r="CG9" t="s">
        <v>69</v>
      </c>
      <c r="CH9" t="s">
        <v>117</v>
      </c>
      <c r="CI9" t="s">
        <v>69</v>
      </c>
      <c r="CJ9">
        <v>121.154</v>
      </c>
      <c r="CK9" t="s">
        <v>69</v>
      </c>
      <c r="CL9" t="s">
        <v>69</v>
      </c>
      <c r="CM9">
        <v>470</v>
      </c>
      <c r="CN9" t="s">
        <v>74</v>
      </c>
      <c r="CO9" t="s">
        <v>69</v>
      </c>
      <c r="CP9" t="s">
        <v>75</v>
      </c>
      <c r="CQ9" t="s">
        <v>69</v>
      </c>
      <c r="CR9">
        <v>174.203</v>
      </c>
      <c r="CS9" t="s">
        <v>69</v>
      </c>
      <c r="CT9" t="s">
        <v>69</v>
      </c>
      <c r="CU9">
        <v>471</v>
      </c>
      <c r="CV9" t="s">
        <v>146</v>
      </c>
      <c r="CW9" t="s">
        <v>69</v>
      </c>
      <c r="CX9" t="s">
        <v>71</v>
      </c>
      <c r="CY9" t="s">
        <v>69</v>
      </c>
      <c r="CZ9">
        <v>115.13200000000001</v>
      </c>
      <c r="DA9" t="s">
        <v>69</v>
      </c>
      <c r="DB9" t="s">
        <v>69</v>
      </c>
      <c r="DC9">
        <v>472</v>
      </c>
      <c r="DD9" t="s">
        <v>70</v>
      </c>
      <c r="DE9" t="s">
        <v>69</v>
      </c>
      <c r="DF9" t="s">
        <v>71</v>
      </c>
      <c r="DG9" t="s">
        <v>69</v>
      </c>
      <c r="DH9">
        <v>75.066999999999993</v>
      </c>
      <c r="DI9" t="s">
        <v>69</v>
      </c>
      <c r="DJ9" t="s">
        <v>69</v>
      </c>
    </row>
    <row r="10" spans="1:114" x14ac:dyDescent="0.25">
      <c r="A10">
        <v>7</v>
      </c>
      <c r="B10" t="str">
        <f>HYPERLINK("http://www.ncbi.nlm.nih.gov/protein/NP_001075054.1","NP_001075054.1")</f>
        <v>NP_001075054.1</v>
      </c>
      <c r="C10">
        <v>136186</v>
      </c>
      <c r="D10" t="str">
        <f>HYPERLINK("http://www.ncbi.nlm.nih.gov/Taxonomy/Browser/wwwtax.cgi?mode=Info&amp;id=9913&amp;lvl=3&amp;lin=f&amp;keep=1&amp;srchmode=1&amp;unlock","9913")</f>
        <v>9913</v>
      </c>
      <c r="E10" t="s">
        <v>66</v>
      </c>
      <c r="F10" t="str">
        <f>HYPERLINK("http://www.ncbi.nlm.nih.gov/Taxonomy/Browser/wwwtax.cgi?mode=Info&amp;id=9913&amp;lvl=3&amp;lin=f&amp;keep=1&amp;srchmode=1&amp;unlock","Bos taurus")</f>
        <v>Bos taurus</v>
      </c>
      <c r="G10" t="s">
        <v>82</v>
      </c>
      <c r="H10" t="str">
        <f>HYPERLINK("http://www.ncbi.nlm.nih.gov/protein/NP_001075054.1","transmembrane protease serine 2")</f>
        <v>transmembrane protease serine 2</v>
      </c>
      <c r="I10" t="s">
        <v>269</v>
      </c>
      <c r="J10" t="s">
        <v>69</v>
      </c>
      <c r="K10">
        <v>278</v>
      </c>
      <c r="L10" t="s">
        <v>115</v>
      </c>
      <c r="M10" t="s">
        <v>69</v>
      </c>
      <c r="N10" t="s">
        <v>71</v>
      </c>
      <c r="O10" t="s">
        <v>69</v>
      </c>
      <c r="P10">
        <v>117.148</v>
      </c>
      <c r="Q10" t="s">
        <v>69</v>
      </c>
      <c r="R10" t="s">
        <v>69</v>
      </c>
      <c r="S10">
        <v>298</v>
      </c>
      <c r="T10" t="s">
        <v>119</v>
      </c>
      <c r="U10" t="s">
        <v>153</v>
      </c>
      <c r="V10" t="s">
        <v>120</v>
      </c>
      <c r="W10" t="s">
        <v>153</v>
      </c>
      <c r="X10">
        <v>147.131</v>
      </c>
      <c r="Y10" t="s">
        <v>69</v>
      </c>
      <c r="Z10" t="s">
        <v>69</v>
      </c>
      <c r="AA10">
        <v>417</v>
      </c>
      <c r="AB10" t="s">
        <v>72</v>
      </c>
      <c r="AC10" t="s">
        <v>69</v>
      </c>
      <c r="AD10" t="s">
        <v>71</v>
      </c>
      <c r="AE10" t="s">
        <v>69</v>
      </c>
      <c r="AF10">
        <v>131.17500000000001</v>
      </c>
      <c r="AG10" t="s">
        <v>69</v>
      </c>
      <c r="AH10" t="s">
        <v>69</v>
      </c>
      <c r="AI10">
        <v>433</v>
      </c>
      <c r="AJ10" t="s">
        <v>156</v>
      </c>
      <c r="AK10" t="s">
        <v>69</v>
      </c>
      <c r="AL10" t="s">
        <v>120</v>
      </c>
      <c r="AM10" t="s">
        <v>69</v>
      </c>
      <c r="AN10">
        <v>133.10400000000001</v>
      </c>
      <c r="AO10" t="s">
        <v>69</v>
      </c>
      <c r="AP10" t="s">
        <v>69</v>
      </c>
      <c r="AQ10">
        <v>435</v>
      </c>
      <c r="AR10" t="s">
        <v>249</v>
      </c>
      <c r="AS10" t="s">
        <v>69</v>
      </c>
      <c r="AT10" t="s">
        <v>117</v>
      </c>
      <c r="AU10" t="s">
        <v>69</v>
      </c>
      <c r="AV10">
        <v>121.154</v>
      </c>
      <c r="AW10" t="s">
        <v>69</v>
      </c>
      <c r="AX10" t="s">
        <v>69</v>
      </c>
      <c r="AY10">
        <v>438</v>
      </c>
      <c r="AZ10" t="s">
        <v>156</v>
      </c>
      <c r="BA10" t="s">
        <v>69</v>
      </c>
      <c r="BB10" t="s">
        <v>120</v>
      </c>
      <c r="BC10" t="s">
        <v>69</v>
      </c>
      <c r="BD10">
        <v>133.10400000000001</v>
      </c>
      <c r="BE10" t="s">
        <v>69</v>
      </c>
      <c r="BF10" t="s">
        <v>69</v>
      </c>
      <c r="BG10">
        <v>457</v>
      </c>
      <c r="BH10" t="s">
        <v>149</v>
      </c>
      <c r="BI10" t="s">
        <v>69</v>
      </c>
      <c r="BJ10" t="s">
        <v>150</v>
      </c>
      <c r="BK10" t="s">
        <v>69</v>
      </c>
      <c r="BL10">
        <v>119.119</v>
      </c>
      <c r="BM10" t="s">
        <v>69</v>
      </c>
      <c r="BN10" t="s">
        <v>69</v>
      </c>
      <c r="BO10">
        <v>459</v>
      </c>
      <c r="BP10" t="s">
        <v>250</v>
      </c>
      <c r="BQ10" t="s">
        <v>69</v>
      </c>
      <c r="BR10" t="s">
        <v>152</v>
      </c>
      <c r="BS10" t="s">
        <v>69</v>
      </c>
      <c r="BT10">
        <v>204.22800000000001</v>
      </c>
      <c r="BU10" t="s">
        <v>69</v>
      </c>
      <c r="BV10" t="s">
        <v>69</v>
      </c>
      <c r="BW10">
        <v>461</v>
      </c>
      <c r="BX10" t="s">
        <v>155</v>
      </c>
      <c r="BY10" t="s">
        <v>69</v>
      </c>
      <c r="BZ10" t="s">
        <v>150</v>
      </c>
      <c r="CA10" t="s">
        <v>69</v>
      </c>
      <c r="CB10">
        <v>105.093</v>
      </c>
      <c r="CC10" t="s">
        <v>69</v>
      </c>
      <c r="CD10" t="s">
        <v>69</v>
      </c>
      <c r="CE10">
        <v>463</v>
      </c>
      <c r="CF10" t="s">
        <v>249</v>
      </c>
      <c r="CG10" t="s">
        <v>69</v>
      </c>
      <c r="CH10" t="s">
        <v>117</v>
      </c>
      <c r="CI10" t="s">
        <v>69</v>
      </c>
      <c r="CJ10">
        <v>121.154</v>
      </c>
      <c r="CK10" t="s">
        <v>69</v>
      </c>
      <c r="CL10" t="s">
        <v>69</v>
      </c>
      <c r="CM10">
        <v>468</v>
      </c>
      <c r="CN10" t="s">
        <v>74</v>
      </c>
      <c r="CO10" t="s">
        <v>69</v>
      </c>
      <c r="CP10" t="s">
        <v>75</v>
      </c>
      <c r="CQ10" t="s">
        <v>69</v>
      </c>
      <c r="CR10">
        <v>174.203</v>
      </c>
      <c r="CS10" t="s">
        <v>69</v>
      </c>
      <c r="CT10" t="s">
        <v>69</v>
      </c>
      <c r="CU10">
        <v>469</v>
      </c>
      <c r="CV10" t="s">
        <v>146</v>
      </c>
      <c r="CW10" t="s">
        <v>69</v>
      </c>
      <c r="CX10" t="s">
        <v>71</v>
      </c>
      <c r="CY10" t="s">
        <v>69</v>
      </c>
      <c r="CZ10">
        <v>115.13200000000001</v>
      </c>
      <c r="DA10" t="s">
        <v>69</v>
      </c>
      <c r="DB10" t="s">
        <v>69</v>
      </c>
      <c r="DC10">
        <v>470</v>
      </c>
      <c r="DD10" t="s">
        <v>70</v>
      </c>
      <c r="DE10" t="s">
        <v>69</v>
      </c>
      <c r="DF10" t="s">
        <v>71</v>
      </c>
      <c r="DG10" t="s">
        <v>69</v>
      </c>
      <c r="DH10">
        <v>75.066999999999993</v>
      </c>
      <c r="DI10" t="s">
        <v>69</v>
      </c>
      <c r="DJ10" t="s">
        <v>69</v>
      </c>
    </row>
    <row r="11" spans="1:114" x14ac:dyDescent="0.25">
      <c r="A11">
        <v>7</v>
      </c>
      <c r="B11" t="str">
        <f>HYPERLINK("http://www.ncbi.nlm.nih.gov/protein/NP_001373056.1","NP_001373056.1")</f>
        <v>NP_001373056.1</v>
      </c>
      <c r="C11">
        <v>58003</v>
      </c>
      <c r="D11" t="str">
        <f>HYPERLINK("http://www.ncbi.nlm.nih.gov/Taxonomy/Browser/wwwtax.cgi?mode=Info&amp;id=9669&amp;lvl=3&amp;lin=f&amp;keep=1&amp;srchmode=1&amp;unlock","9669")</f>
        <v>9669</v>
      </c>
      <c r="E11" t="s">
        <v>66</v>
      </c>
      <c r="F11" t="str">
        <f>HYPERLINK("http://www.ncbi.nlm.nih.gov/Taxonomy/Browser/wwwtax.cgi?mode=Info&amp;id=9669&amp;lvl=3&amp;lin=f&amp;keep=1&amp;srchmode=1&amp;unlock","Mustela putorius furo")</f>
        <v>Mustela putorius furo</v>
      </c>
      <c r="G11" t="s">
        <v>98</v>
      </c>
      <c r="H11" t="str">
        <f>HYPERLINK("http://www.ncbi.nlm.nih.gov/protein/NP_001373056.1","transmembrane protease serine 2")</f>
        <v>transmembrane protease serine 2</v>
      </c>
      <c r="I11" t="s">
        <v>269</v>
      </c>
      <c r="J11" t="s">
        <v>69</v>
      </c>
      <c r="K11">
        <v>280</v>
      </c>
      <c r="L11" t="s">
        <v>115</v>
      </c>
      <c r="M11" t="s">
        <v>69</v>
      </c>
      <c r="N11" t="s">
        <v>71</v>
      </c>
      <c r="O11" t="s">
        <v>69</v>
      </c>
      <c r="P11">
        <v>117.148</v>
      </c>
      <c r="Q11" t="s">
        <v>69</v>
      </c>
      <c r="R11" t="s">
        <v>69</v>
      </c>
      <c r="S11">
        <v>300</v>
      </c>
      <c r="T11" t="s">
        <v>119</v>
      </c>
      <c r="U11" t="s">
        <v>153</v>
      </c>
      <c r="V11" t="s">
        <v>120</v>
      </c>
      <c r="W11" t="s">
        <v>153</v>
      </c>
      <c r="X11">
        <v>147.131</v>
      </c>
      <c r="Y11" t="s">
        <v>69</v>
      </c>
      <c r="Z11" t="s">
        <v>69</v>
      </c>
      <c r="AA11">
        <v>419</v>
      </c>
      <c r="AB11" t="s">
        <v>72</v>
      </c>
      <c r="AC11" t="s">
        <v>69</v>
      </c>
      <c r="AD11" t="s">
        <v>71</v>
      </c>
      <c r="AE11" t="s">
        <v>69</v>
      </c>
      <c r="AF11">
        <v>131.17500000000001</v>
      </c>
      <c r="AG11" t="s">
        <v>69</v>
      </c>
      <c r="AH11" t="s">
        <v>69</v>
      </c>
      <c r="AI11">
        <v>435</v>
      </c>
      <c r="AJ11" t="s">
        <v>156</v>
      </c>
      <c r="AK11" t="s">
        <v>69</v>
      </c>
      <c r="AL11" t="s">
        <v>120</v>
      </c>
      <c r="AM11" t="s">
        <v>69</v>
      </c>
      <c r="AN11">
        <v>133.10400000000001</v>
      </c>
      <c r="AO11" t="s">
        <v>69</v>
      </c>
      <c r="AP11" t="s">
        <v>69</v>
      </c>
      <c r="AQ11">
        <v>437</v>
      </c>
      <c r="AR11" t="s">
        <v>249</v>
      </c>
      <c r="AS11" t="s">
        <v>69</v>
      </c>
      <c r="AT11" t="s">
        <v>117</v>
      </c>
      <c r="AU11" t="s">
        <v>69</v>
      </c>
      <c r="AV11">
        <v>121.154</v>
      </c>
      <c r="AW11" t="s">
        <v>69</v>
      </c>
      <c r="AX11" t="s">
        <v>69</v>
      </c>
      <c r="AY11">
        <v>440</v>
      </c>
      <c r="AZ11" t="s">
        <v>156</v>
      </c>
      <c r="BA11" t="s">
        <v>69</v>
      </c>
      <c r="BB11" t="s">
        <v>120</v>
      </c>
      <c r="BC11" t="s">
        <v>69</v>
      </c>
      <c r="BD11">
        <v>133.10400000000001</v>
      </c>
      <c r="BE11" t="s">
        <v>69</v>
      </c>
      <c r="BF11" t="s">
        <v>69</v>
      </c>
      <c r="BG11">
        <v>459</v>
      </c>
      <c r="BH11" t="s">
        <v>149</v>
      </c>
      <c r="BI11" t="s">
        <v>69</v>
      </c>
      <c r="BJ11" t="s">
        <v>150</v>
      </c>
      <c r="BK11" t="s">
        <v>69</v>
      </c>
      <c r="BL11">
        <v>119.119</v>
      </c>
      <c r="BM11" t="s">
        <v>69</v>
      </c>
      <c r="BN11" t="s">
        <v>69</v>
      </c>
      <c r="BO11">
        <v>461</v>
      </c>
      <c r="BP11" t="s">
        <v>250</v>
      </c>
      <c r="BQ11" t="s">
        <v>69</v>
      </c>
      <c r="BR11" t="s">
        <v>152</v>
      </c>
      <c r="BS11" t="s">
        <v>69</v>
      </c>
      <c r="BT11">
        <v>204.22800000000001</v>
      </c>
      <c r="BU11" t="s">
        <v>69</v>
      </c>
      <c r="BV11" t="s">
        <v>69</v>
      </c>
      <c r="BW11">
        <v>463</v>
      </c>
      <c r="BX11" t="s">
        <v>155</v>
      </c>
      <c r="BY11" t="s">
        <v>69</v>
      </c>
      <c r="BZ11" t="s">
        <v>150</v>
      </c>
      <c r="CA11" t="s">
        <v>69</v>
      </c>
      <c r="CB11">
        <v>105.093</v>
      </c>
      <c r="CC11" t="s">
        <v>69</v>
      </c>
      <c r="CD11" t="s">
        <v>69</v>
      </c>
      <c r="CE11">
        <v>465</v>
      </c>
      <c r="CF11" t="s">
        <v>249</v>
      </c>
      <c r="CG11" t="s">
        <v>69</v>
      </c>
      <c r="CH11" t="s">
        <v>117</v>
      </c>
      <c r="CI11" t="s">
        <v>69</v>
      </c>
      <c r="CJ11">
        <v>121.154</v>
      </c>
      <c r="CK11" t="s">
        <v>69</v>
      </c>
      <c r="CL11" t="s">
        <v>69</v>
      </c>
      <c r="CM11">
        <v>470</v>
      </c>
      <c r="CN11" t="s">
        <v>74</v>
      </c>
      <c r="CO11" t="s">
        <v>69</v>
      </c>
      <c r="CP11" t="s">
        <v>75</v>
      </c>
      <c r="CQ11" t="s">
        <v>69</v>
      </c>
      <c r="CR11">
        <v>174.203</v>
      </c>
      <c r="CS11" t="s">
        <v>69</v>
      </c>
      <c r="CT11" t="s">
        <v>69</v>
      </c>
      <c r="CU11">
        <v>471</v>
      </c>
      <c r="CV11" t="s">
        <v>146</v>
      </c>
      <c r="CW11" t="s">
        <v>69</v>
      </c>
      <c r="CX11" t="s">
        <v>71</v>
      </c>
      <c r="CY11" t="s">
        <v>69</v>
      </c>
      <c r="CZ11">
        <v>115.13200000000001</v>
      </c>
      <c r="DA11" t="s">
        <v>69</v>
      </c>
      <c r="DB11" t="s">
        <v>69</v>
      </c>
      <c r="DC11">
        <v>472</v>
      </c>
      <c r="DD11" t="s">
        <v>70</v>
      </c>
      <c r="DE11" t="s">
        <v>69</v>
      </c>
      <c r="DF11" t="s">
        <v>71</v>
      </c>
      <c r="DG11" t="s">
        <v>69</v>
      </c>
      <c r="DH11">
        <v>75.066999999999993</v>
      </c>
      <c r="DI11" t="s">
        <v>69</v>
      </c>
      <c r="DJ11" t="s">
        <v>69</v>
      </c>
    </row>
    <row r="12" spans="1:114" x14ac:dyDescent="0.25">
      <c r="A12">
        <v>7</v>
      </c>
      <c r="B12" t="str">
        <f>HYPERLINK("http://www.ncbi.nlm.nih.gov/protein/XP_045857749.1","XP_045857749.1")</f>
        <v>XP_045857749.1</v>
      </c>
      <c r="C12">
        <v>50752</v>
      </c>
      <c r="D12" t="str">
        <f>HYPERLINK("http://www.ncbi.nlm.nih.gov/Taxonomy/Browser/wwwtax.cgi?mode=Info&amp;id=9662&amp;lvl=3&amp;lin=f&amp;keep=1&amp;srchmode=1&amp;unlock","9662")</f>
        <v>9662</v>
      </c>
      <c r="E12" t="s">
        <v>66</v>
      </c>
      <c r="F12" t="str">
        <f>HYPERLINK("http://www.ncbi.nlm.nih.gov/Taxonomy/Browser/wwwtax.cgi?mode=Info&amp;id=9662&amp;lvl=3&amp;lin=f&amp;keep=1&amp;srchmode=1&amp;unlock","Meles meles")</f>
        <v>Meles meles</v>
      </c>
      <c r="G12" t="s">
        <v>99</v>
      </c>
      <c r="H12" t="str">
        <f>HYPERLINK("http://www.ncbi.nlm.nih.gov/protein/XP_045857749.1","transmembrane protease serine 2 isoform X2")</f>
        <v>transmembrane protease serine 2 isoform X2</v>
      </c>
      <c r="I12" t="s">
        <v>269</v>
      </c>
      <c r="J12" t="s">
        <v>69</v>
      </c>
      <c r="K12">
        <v>280</v>
      </c>
      <c r="L12" t="s">
        <v>115</v>
      </c>
      <c r="M12" t="s">
        <v>69</v>
      </c>
      <c r="N12" t="s">
        <v>71</v>
      </c>
      <c r="O12" t="s">
        <v>69</v>
      </c>
      <c r="P12">
        <v>117.148</v>
      </c>
      <c r="Q12" t="s">
        <v>69</v>
      </c>
      <c r="R12" t="s">
        <v>69</v>
      </c>
      <c r="S12">
        <v>300</v>
      </c>
      <c r="T12" t="s">
        <v>119</v>
      </c>
      <c r="U12" t="s">
        <v>153</v>
      </c>
      <c r="V12" t="s">
        <v>120</v>
      </c>
      <c r="W12" t="s">
        <v>153</v>
      </c>
      <c r="X12">
        <v>147.131</v>
      </c>
      <c r="Y12" t="s">
        <v>69</v>
      </c>
      <c r="Z12" t="s">
        <v>69</v>
      </c>
      <c r="AA12">
        <v>419</v>
      </c>
      <c r="AB12" t="s">
        <v>72</v>
      </c>
      <c r="AC12" t="s">
        <v>69</v>
      </c>
      <c r="AD12" t="s">
        <v>71</v>
      </c>
      <c r="AE12" t="s">
        <v>69</v>
      </c>
      <c r="AF12">
        <v>131.17500000000001</v>
      </c>
      <c r="AG12" t="s">
        <v>69</v>
      </c>
      <c r="AH12" t="s">
        <v>69</v>
      </c>
      <c r="AI12">
        <v>435</v>
      </c>
      <c r="AJ12" t="s">
        <v>156</v>
      </c>
      <c r="AK12" t="s">
        <v>69</v>
      </c>
      <c r="AL12" t="s">
        <v>120</v>
      </c>
      <c r="AM12" t="s">
        <v>69</v>
      </c>
      <c r="AN12">
        <v>133.10400000000001</v>
      </c>
      <c r="AO12" t="s">
        <v>69</v>
      </c>
      <c r="AP12" t="s">
        <v>69</v>
      </c>
      <c r="AQ12">
        <v>437</v>
      </c>
      <c r="AR12" t="s">
        <v>249</v>
      </c>
      <c r="AS12" t="s">
        <v>69</v>
      </c>
      <c r="AT12" t="s">
        <v>117</v>
      </c>
      <c r="AU12" t="s">
        <v>69</v>
      </c>
      <c r="AV12">
        <v>121.154</v>
      </c>
      <c r="AW12" t="s">
        <v>69</v>
      </c>
      <c r="AX12" t="s">
        <v>69</v>
      </c>
      <c r="AY12">
        <v>440</v>
      </c>
      <c r="AZ12" t="s">
        <v>156</v>
      </c>
      <c r="BA12" t="s">
        <v>69</v>
      </c>
      <c r="BB12" t="s">
        <v>120</v>
      </c>
      <c r="BC12" t="s">
        <v>69</v>
      </c>
      <c r="BD12">
        <v>133.10400000000001</v>
      </c>
      <c r="BE12" t="s">
        <v>69</v>
      </c>
      <c r="BF12" t="s">
        <v>69</v>
      </c>
      <c r="BG12">
        <v>459</v>
      </c>
      <c r="BH12" t="s">
        <v>149</v>
      </c>
      <c r="BI12" t="s">
        <v>69</v>
      </c>
      <c r="BJ12" t="s">
        <v>150</v>
      </c>
      <c r="BK12" t="s">
        <v>69</v>
      </c>
      <c r="BL12">
        <v>119.119</v>
      </c>
      <c r="BM12" t="s">
        <v>69</v>
      </c>
      <c r="BN12" t="s">
        <v>69</v>
      </c>
      <c r="BO12">
        <v>461</v>
      </c>
      <c r="BP12" t="s">
        <v>250</v>
      </c>
      <c r="BQ12" t="s">
        <v>69</v>
      </c>
      <c r="BR12" t="s">
        <v>152</v>
      </c>
      <c r="BS12" t="s">
        <v>69</v>
      </c>
      <c r="BT12">
        <v>204.22800000000001</v>
      </c>
      <c r="BU12" t="s">
        <v>69</v>
      </c>
      <c r="BV12" t="s">
        <v>69</v>
      </c>
      <c r="BW12">
        <v>463</v>
      </c>
      <c r="BX12" t="s">
        <v>155</v>
      </c>
      <c r="BY12" t="s">
        <v>69</v>
      </c>
      <c r="BZ12" t="s">
        <v>150</v>
      </c>
      <c r="CA12" t="s">
        <v>69</v>
      </c>
      <c r="CB12">
        <v>105.093</v>
      </c>
      <c r="CC12" t="s">
        <v>69</v>
      </c>
      <c r="CD12" t="s">
        <v>69</v>
      </c>
      <c r="CE12">
        <v>465</v>
      </c>
      <c r="CF12" t="s">
        <v>249</v>
      </c>
      <c r="CG12" t="s">
        <v>69</v>
      </c>
      <c r="CH12" t="s">
        <v>117</v>
      </c>
      <c r="CI12" t="s">
        <v>69</v>
      </c>
      <c r="CJ12">
        <v>121.154</v>
      </c>
      <c r="CK12" t="s">
        <v>69</v>
      </c>
      <c r="CL12" t="s">
        <v>69</v>
      </c>
      <c r="CM12">
        <v>470</v>
      </c>
      <c r="CN12" t="s">
        <v>74</v>
      </c>
      <c r="CO12" t="s">
        <v>69</v>
      </c>
      <c r="CP12" t="s">
        <v>75</v>
      </c>
      <c r="CQ12" t="s">
        <v>69</v>
      </c>
      <c r="CR12">
        <v>174.203</v>
      </c>
      <c r="CS12" t="s">
        <v>69</v>
      </c>
      <c r="CT12" t="s">
        <v>69</v>
      </c>
      <c r="CU12">
        <v>471</v>
      </c>
      <c r="CV12" t="s">
        <v>146</v>
      </c>
      <c r="CW12" t="s">
        <v>69</v>
      </c>
      <c r="CX12" t="s">
        <v>71</v>
      </c>
      <c r="CY12" t="s">
        <v>69</v>
      </c>
      <c r="CZ12">
        <v>115.13200000000001</v>
      </c>
      <c r="DA12" t="s">
        <v>69</v>
      </c>
      <c r="DB12" t="s">
        <v>69</v>
      </c>
      <c r="DC12">
        <v>472</v>
      </c>
      <c r="DD12" t="s">
        <v>70</v>
      </c>
      <c r="DE12" t="s">
        <v>69</v>
      </c>
      <c r="DF12" t="s">
        <v>71</v>
      </c>
      <c r="DG12" t="s">
        <v>69</v>
      </c>
      <c r="DH12">
        <v>75.066999999999993</v>
      </c>
      <c r="DI12" t="s">
        <v>69</v>
      </c>
      <c r="DJ12" t="s">
        <v>69</v>
      </c>
    </row>
    <row r="13" spans="1:114" x14ac:dyDescent="0.25">
      <c r="A13">
        <v>7</v>
      </c>
      <c r="B13" t="str">
        <f>HYPERLINK("http://www.ncbi.nlm.nih.gov/protein/NP_056590.2","NP_056590.2")</f>
        <v>NP_056590.2</v>
      </c>
      <c r="C13">
        <v>337449</v>
      </c>
      <c r="D13" t="str">
        <f>HYPERLINK("http://www.ncbi.nlm.nih.gov/Taxonomy/Browser/wwwtax.cgi?mode=Info&amp;id=10090&amp;lvl=3&amp;lin=f&amp;keep=1&amp;srchmode=1&amp;unlock","10090")</f>
        <v>10090</v>
      </c>
      <c r="E13" t="s">
        <v>66</v>
      </c>
      <c r="F13" t="str">
        <f>HYPERLINK("http://www.ncbi.nlm.nih.gov/Taxonomy/Browser/wwwtax.cgi?mode=Info&amp;id=10090&amp;lvl=3&amp;lin=f&amp;keep=1&amp;srchmode=1&amp;unlock","Mus musculus")</f>
        <v>Mus musculus</v>
      </c>
      <c r="G13" t="s">
        <v>104</v>
      </c>
      <c r="H13" t="str">
        <f>HYPERLINK("http://www.ncbi.nlm.nih.gov/protein/NP_056590.2","transmembrane protease serine 2")</f>
        <v>transmembrane protease serine 2</v>
      </c>
      <c r="I13" t="s">
        <v>269</v>
      </c>
      <c r="J13" t="s">
        <v>69</v>
      </c>
      <c r="K13">
        <v>278</v>
      </c>
      <c r="L13" t="s">
        <v>115</v>
      </c>
      <c r="M13" t="s">
        <v>69</v>
      </c>
      <c r="N13" t="s">
        <v>71</v>
      </c>
      <c r="O13" t="s">
        <v>69</v>
      </c>
      <c r="P13">
        <v>117.148</v>
      </c>
      <c r="Q13" t="s">
        <v>69</v>
      </c>
      <c r="R13" t="s">
        <v>69</v>
      </c>
      <c r="S13">
        <v>298</v>
      </c>
      <c r="T13" t="s">
        <v>119</v>
      </c>
      <c r="U13" t="s">
        <v>153</v>
      </c>
      <c r="V13" t="s">
        <v>120</v>
      </c>
      <c r="W13" t="s">
        <v>153</v>
      </c>
      <c r="X13">
        <v>147.131</v>
      </c>
      <c r="Y13" t="s">
        <v>69</v>
      </c>
      <c r="Z13" t="s">
        <v>69</v>
      </c>
      <c r="AA13">
        <v>417</v>
      </c>
      <c r="AB13" t="s">
        <v>72</v>
      </c>
      <c r="AC13" t="s">
        <v>69</v>
      </c>
      <c r="AD13" t="s">
        <v>71</v>
      </c>
      <c r="AE13" t="s">
        <v>69</v>
      </c>
      <c r="AF13">
        <v>131.17500000000001</v>
      </c>
      <c r="AG13" t="s">
        <v>69</v>
      </c>
      <c r="AH13" t="s">
        <v>69</v>
      </c>
      <c r="AI13">
        <v>433</v>
      </c>
      <c r="AJ13" t="s">
        <v>156</v>
      </c>
      <c r="AK13" t="s">
        <v>69</v>
      </c>
      <c r="AL13" t="s">
        <v>120</v>
      </c>
      <c r="AM13" t="s">
        <v>69</v>
      </c>
      <c r="AN13">
        <v>133.10400000000001</v>
      </c>
      <c r="AO13" t="s">
        <v>69</v>
      </c>
      <c r="AP13" t="s">
        <v>69</v>
      </c>
      <c r="AQ13">
        <v>435</v>
      </c>
      <c r="AR13" t="s">
        <v>249</v>
      </c>
      <c r="AS13" t="s">
        <v>69</v>
      </c>
      <c r="AT13" t="s">
        <v>117</v>
      </c>
      <c r="AU13" t="s">
        <v>69</v>
      </c>
      <c r="AV13">
        <v>121.154</v>
      </c>
      <c r="AW13" t="s">
        <v>69</v>
      </c>
      <c r="AX13" t="s">
        <v>69</v>
      </c>
      <c r="AY13">
        <v>438</v>
      </c>
      <c r="AZ13" t="s">
        <v>156</v>
      </c>
      <c r="BA13" t="s">
        <v>69</v>
      </c>
      <c r="BB13" t="s">
        <v>120</v>
      </c>
      <c r="BC13" t="s">
        <v>69</v>
      </c>
      <c r="BD13">
        <v>133.10400000000001</v>
      </c>
      <c r="BE13" t="s">
        <v>69</v>
      </c>
      <c r="BF13" t="s">
        <v>69</v>
      </c>
      <c r="BG13">
        <v>457</v>
      </c>
      <c r="BH13" t="s">
        <v>149</v>
      </c>
      <c r="BI13" t="s">
        <v>69</v>
      </c>
      <c r="BJ13" t="s">
        <v>150</v>
      </c>
      <c r="BK13" t="s">
        <v>69</v>
      </c>
      <c r="BL13">
        <v>119.119</v>
      </c>
      <c r="BM13" t="s">
        <v>69</v>
      </c>
      <c r="BN13" t="s">
        <v>69</v>
      </c>
      <c r="BO13">
        <v>459</v>
      </c>
      <c r="BP13" t="s">
        <v>250</v>
      </c>
      <c r="BQ13" t="s">
        <v>69</v>
      </c>
      <c r="BR13" t="s">
        <v>152</v>
      </c>
      <c r="BS13" t="s">
        <v>69</v>
      </c>
      <c r="BT13">
        <v>204.22800000000001</v>
      </c>
      <c r="BU13" t="s">
        <v>69</v>
      </c>
      <c r="BV13" t="s">
        <v>69</v>
      </c>
      <c r="BW13">
        <v>461</v>
      </c>
      <c r="BX13" t="s">
        <v>155</v>
      </c>
      <c r="BY13" t="s">
        <v>69</v>
      </c>
      <c r="BZ13" t="s">
        <v>150</v>
      </c>
      <c r="CA13" t="s">
        <v>69</v>
      </c>
      <c r="CB13">
        <v>105.093</v>
      </c>
      <c r="CC13" t="s">
        <v>69</v>
      </c>
      <c r="CD13" t="s">
        <v>69</v>
      </c>
      <c r="CE13">
        <v>463</v>
      </c>
      <c r="CF13" t="s">
        <v>249</v>
      </c>
      <c r="CG13" t="s">
        <v>69</v>
      </c>
      <c r="CH13" t="s">
        <v>117</v>
      </c>
      <c r="CI13" t="s">
        <v>69</v>
      </c>
      <c r="CJ13">
        <v>121.154</v>
      </c>
      <c r="CK13" t="s">
        <v>69</v>
      </c>
      <c r="CL13" t="s">
        <v>69</v>
      </c>
      <c r="CM13">
        <v>468</v>
      </c>
      <c r="CN13" t="s">
        <v>74</v>
      </c>
      <c r="CO13" t="s">
        <v>69</v>
      </c>
      <c r="CP13" t="s">
        <v>75</v>
      </c>
      <c r="CQ13" t="s">
        <v>69</v>
      </c>
      <c r="CR13">
        <v>174.203</v>
      </c>
      <c r="CS13" t="s">
        <v>69</v>
      </c>
      <c r="CT13" t="s">
        <v>69</v>
      </c>
      <c r="CU13">
        <v>469</v>
      </c>
      <c r="CV13" t="s">
        <v>146</v>
      </c>
      <c r="CW13" t="s">
        <v>69</v>
      </c>
      <c r="CX13" t="s">
        <v>71</v>
      </c>
      <c r="CY13" t="s">
        <v>69</v>
      </c>
      <c r="CZ13">
        <v>115.13200000000001</v>
      </c>
      <c r="DA13" t="s">
        <v>69</v>
      </c>
      <c r="DB13" t="s">
        <v>69</v>
      </c>
      <c r="DC13">
        <v>470</v>
      </c>
      <c r="DD13" t="s">
        <v>70</v>
      </c>
      <c r="DE13" t="s">
        <v>69</v>
      </c>
      <c r="DF13" t="s">
        <v>71</v>
      </c>
      <c r="DG13" t="s">
        <v>69</v>
      </c>
      <c r="DH13">
        <v>75.066999999999993</v>
      </c>
      <c r="DI13" t="s">
        <v>69</v>
      </c>
      <c r="DJ13" t="s">
        <v>69</v>
      </c>
    </row>
    <row r="14" spans="1:114" x14ac:dyDescent="0.25">
      <c r="A14">
        <v>7</v>
      </c>
      <c r="B14" t="str">
        <f>HYPERLINK("http://www.ncbi.nlm.nih.gov/protein/XP_036870731.1","XP_036870731.1")</f>
        <v>XP_036870731.1</v>
      </c>
      <c r="C14">
        <v>56064</v>
      </c>
      <c r="D14" t="str">
        <f>HYPERLINK("http://www.ncbi.nlm.nih.gov/Taxonomy/Browser/wwwtax.cgi?mode=Info&amp;id=9974&amp;lvl=3&amp;lin=f&amp;keep=1&amp;srchmode=1&amp;unlock","9974")</f>
        <v>9974</v>
      </c>
      <c r="E14" t="s">
        <v>66</v>
      </c>
      <c r="F14" t="str">
        <f>HYPERLINK("http://www.ncbi.nlm.nih.gov/Taxonomy/Browser/wwwtax.cgi?mode=Info&amp;id=9974&amp;lvl=3&amp;lin=f&amp;keep=1&amp;srchmode=1&amp;unlock","Manis javanica")</f>
        <v>Manis javanica</v>
      </c>
      <c r="G14" t="s">
        <v>100</v>
      </c>
      <c r="H14" t="str">
        <f>HYPERLINK("http://www.ncbi.nlm.nih.gov/protein/XP_036870731.1","transmembrane protease serine 2 isoform X1")</f>
        <v>transmembrane protease serine 2 isoform X1</v>
      </c>
      <c r="I14" t="s">
        <v>269</v>
      </c>
      <c r="J14" t="s">
        <v>69</v>
      </c>
      <c r="K14">
        <v>280</v>
      </c>
      <c r="L14" t="s">
        <v>115</v>
      </c>
      <c r="M14" t="s">
        <v>69</v>
      </c>
      <c r="N14" t="s">
        <v>71</v>
      </c>
      <c r="O14" t="s">
        <v>69</v>
      </c>
      <c r="P14">
        <v>117.148</v>
      </c>
      <c r="Q14" t="s">
        <v>69</v>
      </c>
      <c r="R14" t="s">
        <v>69</v>
      </c>
      <c r="S14">
        <v>300</v>
      </c>
      <c r="T14" t="s">
        <v>119</v>
      </c>
      <c r="U14" t="s">
        <v>153</v>
      </c>
      <c r="V14" t="s">
        <v>120</v>
      </c>
      <c r="W14" t="s">
        <v>153</v>
      </c>
      <c r="X14">
        <v>147.131</v>
      </c>
      <c r="Y14" t="s">
        <v>69</v>
      </c>
      <c r="Z14" t="s">
        <v>69</v>
      </c>
      <c r="AA14">
        <v>419</v>
      </c>
      <c r="AB14" t="s">
        <v>72</v>
      </c>
      <c r="AC14" t="s">
        <v>69</v>
      </c>
      <c r="AD14" t="s">
        <v>71</v>
      </c>
      <c r="AE14" t="s">
        <v>69</v>
      </c>
      <c r="AF14">
        <v>131.17500000000001</v>
      </c>
      <c r="AG14" t="s">
        <v>69</v>
      </c>
      <c r="AH14" t="s">
        <v>69</v>
      </c>
      <c r="AI14">
        <v>435</v>
      </c>
      <c r="AJ14" t="s">
        <v>156</v>
      </c>
      <c r="AK14" t="s">
        <v>69</v>
      </c>
      <c r="AL14" t="s">
        <v>120</v>
      </c>
      <c r="AM14" t="s">
        <v>69</v>
      </c>
      <c r="AN14">
        <v>133.10400000000001</v>
      </c>
      <c r="AO14" t="s">
        <v>69</v>
      </c>
      <c r="AP14" t="s">
        <v>69</v>
      </c>
      <c r="AQ14">
        <v>437</v>
      </c>
      <c r="AR14" t="s">
        <v>249</v>
      </c>
      <c r="AS14" t="s">
        <v>69</v>
      </c>
      <c r="AT14" t="s">
        <v>117</v>
      </c>
      <c r="AU14" t="s">
        <v>69</v>
      </c>
      <c r="AV14">
        <v>121.154</v>
      </c>
      <c r="AW14" t="s">
        <v>69</v>
      </c>
      <c r="AX14" t="s">
        <v>69</v>
      </c>
      <c r="AY14">
        <v>440</v>
      </c>
      <c r="AZ14" t="s">
        <v>156</v>
      </c>
      <c r="BA14" t="s">
        <v>69</v>
      </c>
      <c r="BB14" t="s">
        <v>120</v>
      </c>
      <c r="BC14" t="s">
        <v>69</v>
      </c>
      <c r="BD14">
        <v>133.10400000000001</v>
      </c>
      <c r="BE14" t="s">
        <v>69</v>
      </c>
      <c r="BF14" t="s">
        <v>69</v>
      </c>
      <c r="BG14">
        <v>459</v>
      </c>
      <c r="BH14" t="s">
        <v>149</v>
      </c>
      <c r="BI14" t="s">
        <v>69</v>
      </c>
      <c r="BJ14" t="s">
        <v>150</v>
      </c>
      <c r="BK14" t="s">
        <v>69</v>
      </c>
      <c r="BL14">
        <v>119.119</v>
      </c>
      <c r="BM14" t="s">
        <v>69</v>
      </c>
      <c r="BN14" t="s">
        <v>69</v>
      </c>
      <c r="BO14">
        <v>461</v>
      </c>
      <c r="BP14" t="s">
        <v>250</v>
      </c>
      <c r="BQ14" t="s">
        <v>69</v>
      </c>
      <c r="BR14" t="s">
        <v>152</v>
      </c>
      <c r="BS14" t="s">
        <v>69</v>
      </c>
      <c r="BT14">
        <v>204.22800000000001</v>
      </c>
      <c r="BU14" t="s">
        <v>69</v>
      </c>
      <c r="BV14" t="s">
        <v>69</v>
      </c>
      <c r="BW14">
        <v>463</v>
      </c>
      <c r="BX14" t="s">
        <v>155</v>
      </c>
      <c r="BY14" t="s">
        <v>69</v>
      </c>
      <c r="BZ14" t="s">
        <v>150</v>
      </c>
      <c r="CA14" t="s">
        <v>69</v>
      </c>
      <c r="CB14">
        <v>105.093</v>
      </c>
      <c r="CC14" t="s">
        <v>69</v>
      </c>
      <c r="CD14" t="s">
        <v>69</v>
      </c>
      <c r="CE14">
        <v>465</v>
      </c>
      <c r="CF14" t="s">
        <v>249</v>
      </c>
      <c r="CG14" t="s">
        <v>69</v>
      </c>
      <c r="CH14" t="s">
        <v>117</v>
      </c>
      <c r="CI14" t="s">
        <v>69</v>
      </c>
      <c r="CJ14">
        <v>121.154</v>
      </c>
      <c r="CK14" t="s">
        <v>69</v>
      </c>
      <c r="CL14" t="s">
        <v>69</v>
      </c>
      <c r="CM14">
        <v>470</v>
      </c>
      <c r="CN14" t="s">
        <v>74</v>
      </c>
      <c r="CO14" t="s">
        <v>69</v>
      </c>
      <c r="CP14" t="s">
        <v>75</v>
      </c>
      <c r="CQ14" t="s">
        <v>69</v>
      </c>
      <c r="CR14">
        <v>174.203</v>
      </c>
      <c r="CS14" t="s">
        <v>69</v>
      </c>
      <c r="CT14" t="s">
        <v>69</v>
      </c>
      <c r="CU14">
        <v>471</v>
      </c>
      <c r="CV14" t="s">
        <v>146</v>
      </c>
      <c r="CW14" t="s">
        <v>69</v>
      </c>
      <c r="CX14" t="s">
        <v>71</v>
      </c>
      <c r="CY14" t="s">
        <v>69</v>
      </c>
      <c r="CZ14">
        <v>115.13200000000001</v>
      </c>
      <c r="DA14" t="s">
        <v>69</v>
      </c>
      <c r="DB14" t="s">
        <v>69</v>
      </c>
      <c r="DC14">
        <v>472</v>
      </c>
      <c r="DD14" t="s">
        <v>70</v>
      </c>
      <c r="DE14" t="s">
        <v>69</v>
      </c>
      <c r="DF14" t="s">
        <v>71</v>
      </c>
      <c r="DG14" t="s">
        <v>69</v>
      </c>
      <c r="DH14">
        <v>75.066999999999993</v>
      </c>
      <c r="DI14" t="s">
        <v>69</v>
      </c>
      <c r="DJ14" t="s">
        <v>69</v>
      </c>
    </row>
    <row r="15" spans="1:114" x14ac:dyDescent="0.25">
      <c r="A15">
        <v>7</v>
      </c>
      <c r="B15" t="str">
        <f>HYPERLINK("http://www.ncbi.nlm.nih.gov/protein/BAF76737.1","BAF76737.1")</f>
        <v>BAF76737.1</v>
      </c>
      <c r="C15">
        <v>86952</v>
      </c>
      <c r="D15" t="str">
        <f>HYPERLINK("http://www.ncbi.nlm.nih.gov/Taxonomy/Browser/wwwtax.cgi?mode=Info&amp;id=9823&amp;lvl=3&amp;lin=f&amp;keep=1&amp;srchmode=1&amp;unlock","9823")</f>
        <v>9823</v>
      </c>
      <c r="E15" t="s">
        <v>66</v>
      </c>
      <c r="F15" t="str">
        <f>HYPERLINK("http://www.ncbi.nlm.nih.gov/Taxonomy/Browser/wwwtax.cgi?mode=Info&amp;id=9823&amp;lvl=3&amp;lin=f&amp;keep=1&amp;srchmode=1&amp;unlock","Sus scrofa")</f>
        <v>Sus scrofa</v>
      </c>
      <c r="G15" t="s">
        <v>85</v>
      </c>
      <c r="H15" t="str">
        <f>HYPERLINK("http://www.ncbi.nlm.nih.gov/protein/BAF76737.1","transmembrane protease, serine 2")</f>
        <v>transmembrane protease, serine 2</v>
      </c>
      <c r="I15" t="s">
        <v>269</v>
      </c>
      <c r="J15" t="s">
        <v>69</v>
      </c>
      <c r="K15">
        <v>283</v>
      </c>
      <c r="L15" t="s">
        <v>145</v>
      </c>
      <c r="M15" t="s">
        <v>153</v>
      </c>
      <c r="N15" t="s">
        <v>71</v>
      </c>
      <c r="O15" t="s">
        <v>69</v>
      </c>
      <c r="P15">
        <v>131.17500000000001</v>
      </c>
      <c r="Q15" t="s">
        <v>69</v>
      </c>
      <c r="R15" t="s">
        <v>69</v>
      </c>
      <c r="S15">
        <v>303</v>
      </c>
      <c r="T15" t="s">
        <v>119</v>
      </c>
      <c r="U15" t="s">
        <v>153</v>
      </c>
      <c r="V15" t="s">
        <v>120</v>
      </c>
      <c r="W15" t="s">
        <v>153</v>
      </c>
      <c r="X15">
        <v>147.131</v>
      </c>
      <c r="Y15" t="s">
        <v>69</v>
      </c>
      <c r="Z15" t="s">
        <v>69</v>
      </c>
      <c r="AA15">
        <v>422</v>
      </c>
      <c r="AB15" t="s">
        <v>72</v>
      </c>
      <c r="AC15" t="s">
        <v>69</v>
      </c>
      <c r="AD15" t="s">
        <v>71</v>
      </c>
      <c r="AE15" t="s">
        <v>69</v>
      </c>
      <c r="AF15">
        <v>131.17500000000001</v>
      </c>
      <c r="AG15" t="s">
        <v>69</v>
      </c>
      <c r="AH15" t="s">
        <v>69</v>
      </c>
      <c r="AI15">
        <v>438</v>
      </c>
      <c r="AJ15" t="s">
        <v>156</v>
      </c>
      <c r="AK15" t="s">
        <v>69</v>
      </c>
      <c r="AL15" t="s">
        <v>120</v>
      </c>
      <c r="AM15" t="s">
        <v>69</v>
      </c>
      <c r="AN15">
        <v>133.10400000000001</v>
      </c>
      <c r="AO15" t="s">
        <v>69</v>
      </c>
      <c r="AP15" t="s">
        <v>69</v>
      </c>
      <c r="AQ15">
        <v>440</v>
      </c>
      <c r="AR15" t="s">
        <v>249</v>
      </c>
      <c r="AS15" t="s">
        <v>69</v>
      </c>
      <c r="AT15" t="s">
        <v>117</v>
      </c>
      <c r="AU15" t="s">
        <v>69</v>
      </c>
      <c r="AV15">
        <v>121.154</v>
      </c>
      <c r="AW15" t="s">
        <v>69</v>
      </c>
      <c r="AX15" t="s">
        <v>69</v>
      </c>
      <c r="AY15">
        <v>443</v>
      </c>
      <c r="AZ15" t="s">
        <v>156</v>
      </c>
      <c r="BA15" t="s">
        <v>69</v>
      </c>
      <c r="BB15" t="s">
        <v>120</v>
      </c>
      <c r="BC15" t="s">
        <v>69</v>
      </c>
      <c r="BD15">
        <v>133.10400000000001</v>
      </c>
      <c r="BE15" t="s">
        <v>69</v>
      </c>
      <c r="BF15" t="s">
        <v>69</v>
      </c>
      <c r="BG15">
        <v>462</v>
      </c>
      <c r="BH15" t="s">
        <v>149</v>
      </c>
      <c r="BI15" t="s">
        <v>69</v>
      </c>
      <c r="BJ15" t="s">
        <v>150</v>
      </c>
      <c r="BK15" t="s">
        <v>69</v>
      </c>
      <c r="BL15">
        <v>119.119</v>
      </c>
      <c r="BM15" t="s">
        <v>69</v>
      </c>
      <c r="BN15" t="s">
        <v>69</v>
      </c>
      <c r="BO15">
        <v>464</v>
      </c>
      <c r="BP15" t="s">
        <v>250</v>
      </c>
      <c r="BQ15" t="s">
        <v>69</v>
      </c>
      <c r="BR15" t="s">
        <v>152</v>
      </c>
      <c r="BS15" t="s">
        <v>69</v>
      </c>
      <c r="BT15">
        <v>204.22800000000001</v>
      </c>
      <c r="BU15" t="s">
        <v>69</v>
      </c>
      <c r="BV15" t="s">
        <v>69</v>
      </c>
      <c r="BW15">
        <v>466</v>
      </c>
      <c r="BX15" t="s">
        <v>155</v>
      </c>
      <c r="BY15" t="s">
        <v>69</v>
      </c>
      <c r="BZ15" t="s">
        <v>150</v>
      </c>
      <c r="CA15" t="s">
        <v>69</v>
      </c>
      <c r="CB15">
        <v>105.093</v>
      </c>
      <c r="CC15" t="s">
        <v>69</v>
      </c>
      <c r="CD15" t="s">
        <v>69</v>
      </c>
      <c r="CE15">
        <v>468</v>
      </c>
      <c r="CF15" t="s">
        <v>249</v>
      </c>
      <c r="CG15" t="s">
        <v>69</v>
      </c>
      <c r="CH15" t="s">
        <v>117</v>
      </c>
      <c r="CI15" t="s">
        <v>69</v>
      </c>
      <c r="CJ15">
        <v>121.154</v>
      </c>
      <c r="CK15" t="s">
        <v>69</v>
      </c>
      <c r="CL15" t="s">
        <v>69</v>
      </c>
      <c r="CM15">
        <v>473</v>
      </c>
      <c r="CN15" t="s">
        <v>74</v>
      </c>
      <c r="CO15" t="s">
        <v>69</v>
      </c>
      <c r="CP15" t="s">
        <v>75</v>
      </c>
      <c r="CQ15" t="s">
        <v>69</v>
      </c>
      <c r="CR15">
        <v>174.203</v>
      </c>
      <c r="CS15" t="s">
        <v>69</v>
      </c>
      <c r="CT15" t="s">
        <v>69</v>
      </c>
      <c r="CU15">
        <v>474</v>
      </c>
      <c r="CV15" t="s">
        <v>146</v>
      </c>
      <c r="CW15" t="s">
        <v>69</v>
      </c>
      <c r="CX15" t="s">
        <v>71</v>
      </c>
      <c r="CY15" t="s">
        <v>69</v>
      </c>
      <c r="CZ15">
        <v>115.13200000000001</v>
      </c>
      <c r="DA15" t="s">
        <v>69</v>
      </c>
      <c r="DB15" t="s">
        <v>69</v>
      </c>
      <c r="DC15">
        <v>475</v>
      </c>
      <c r="DD15" t="s">
        <v>70</v>
      </c>
      <c r="DE15" t="s">
        <v>69</v>
      </c>
      <c r="DF15" t="s">
        <v>71</v>
      </c>
      <c r="DG15" t="s">
        <v>69</v>
      </c>
      <c r="DH15">
        <v>75.066999999999993</v>
      </c>
      <c r="DI15" t="s">
        <v>69</v>
      </c>
      <c r="DJ15" t="s">
        <v>69</v>
      </c>
    </row>
    <row r="16" spans="1:114" x14ac:dyDescent="0.25">
      <c r="A16">
        <v>7</v>
      </c>
      <c r="B16" t="str">
        <f>HYPERLINK("http://www.ncbi.nlm.nih.gov/protein/XP_020763597.1","XP_020763597.1")</f>
        <v>XP_020763597.1</v>
      </c>
      <c r="C16">
        <v>48218</v>
      </c>
      <c r="D16" t="str">
        <f>HYPERLINK("http://www.ncbi.nlm.nih.gov/Taxonomy/Browser/wwwtax.cgi?mode=Info&amp;id=9880&amp;lvl=3&amp;lin=f&amp;keep=1&amp;srchmode=1&amp;unlock","9880")</f>
        <v>9880</v>
      </c>
      <c r="E16" t="s">
        <v>66</v>
      </c>
      <c r="F16" t="str">
        <f>HYPERLINK("http://www.ncbi.nlm.nih.gov/Taxonomy/Browser/wwwtax.cgi?mode=Info&amp;id=9880&amp;lvl=3&amp;lin=f&amp;keep=1&amp;srchmode=1&amp;unlock","Odocoileus virginianus texanus")</f>
        <v>Odocoileus virginianus texanus</v>
      </c>
      <c r="G16" t="s">
        <v>81</v>
      </c>
      <c r="H16" t="str">
        <f>HYPERLINK("http://www.ncbi.nlm.nih.gov/protein/XP_020763597.1","transmembrane protease serine 2 isoform X1")</f>
        <v>transmembrane protease serine 2 isoform X1</v>
      </c>
      <c r="I16" t="s">
        <v>269</v>
      </c>
      <c r="J16" t="s">
        <v>69</v>
      </c>
      <c r="K16">
        <v>278</v>
      </c>
      <c r="L16" t="s">
        <v>115</v>
      </c>
      <c r="M16" t="s">
        <v>69</v>
      </c>
      <c r="N16" t="s">
        <v>71</v>
      </c>
      <c r="O16" t="s">
        <v>69</v>
      </c>
      <c r="P16">
        <v>117.148</v>
      </c>
      <c r="Q16" t="s">
        <v>69</v>
      </c>
      <c r="R16" t="s">
        <v>69</v>
      </c>
      <c r="S16">
        <v>298</v>
      </c>
      <c r="T16" t="s">
        <v>119</v>
      </c>
      <c r="U16" t="s">
        <v>153</v>
      </c>
      <c r="V16" t="s">
        <v>120</v>
      </c>
      <c r="W16" t="s">
        <v>153</v>
      </c>
      <c r="X16">
        <v>147.131</v>
      </c>
      <c r="Y16" t="s">
        <v>69</v>
      </c>
      <c r="Z16" t="s">
        <v>69</v>
      </c>
      <c r="AA16">
        <v>417</v>
      </c>
      <c r="AB16" t="s">
        <v>72</v>
      </c>
      <c r="AC16" t="s">
        <v>69</v>
      </c>
      <c r="AD16" t="s">
        <v>71</v>
      </c>
      <c r="AE16" t="s">
        <v>69</v>
      </c>
      <c r="AF16">
        <v>131.17500000000001</v>
      </c>
      <c r="AG16" t="s">
        <v>69</v>
      </c>
      <c r="AH16" t="s">
        <v>69</v>
      </c>
      <c r="AI16">
        <v>433</v>
      </c>
      <c r="AJ16" t="s">
        <v>156</v>
      </c>
      <c r="AK16" t="s">
        <v>69</v>
      </c>
      <c r="AL16" t="s">
        <v>120</v>
      </c>
      <c r="AM16" t="s">
        <v>69</v>
      </c>
      <c r="AN16">
        <v>133.10400000000001</v>
      </c>
      <c r="AO16" t="s">
        <v>69</v>
      </c>
      <c r="AP16" t="s">
        <v>69</v>
      </c>
      <c r="AQ16">
        <v>435</v>
      </c>
      <c r="AR16" t="s">
        <v>249</v>
      </c>
      <c r="AS16" t="s">
        <v>69</v>
      </c>
      <c r="AT16" t="s">
        <v>117</v>
      </c>
      <c r="AU16" t="s">
        <v>69</v>
      </c>
      <c r="AV16">
        <v>121.154</v>
      </c>
      <c r="AW16" t="s">
        <v>69</v>
      </c>
      <c r="AX16" t="s">
        <v>69</v>
      </c>
      <c r="AY16">
        <v>438</v>
      </c>
      <c r="AZ16" t="s">
        <v>156</v>
      </c>
      <c r="BA16" t="s">
        <v>69</v>
      </c>
      <c r="BB16" t="s">
        <v>120</v>
      </c>
      <c r="BC16" t="s">
        <v>69</v>
      </c>
      <c r="BD16">
        <v>133.10400000000001</v>
      </c>
      <c r="BE16" t="s">
        <v>69</v>
      </c>
      <c r="BF16" t="s">
        <v>69</v>
      </c>
      <c r="BG16">
        <v>457</v>
      </c>
      <c r="BH16" t="s">
        <v>149</v>
      </c>
      <c r="BI16" t="s">
        <v>69</v>
      </c>
      <c r="BJ16" t="s">
        <v>150</v>
      </c>
      <c r="BK16" t="s">
        <v>69</v>
      </c>
      <c r="BL16">
        <v>119.119</v>
      </c>
      <c r="BM16" t="s">
        <v>69</v>
      </c>
      <c r="BN16" t="s">
        <v>69</v>
      </c>
      <c r="BO16">
        <v>459</v>
      </c>
      <c r="BP16" t="s">
        <v>250</v>
      </c>
      <c r="BQ16" t="s">
        <v>69</v>
      </c>
      <c r="BR16" t="s">
        <v>152</v>
      </c>
      <c r="BS16" t="s">
        <v>69</v>
      </c>
      <c r="BT16">
        <v>204.22800000000001</v>
      </c>
      <c r="BU16" t="s">
        <v>69</v>
      </c>
      <c r="BV16" t="s">
        <v>69</v>
      </c>
      <c r="BW16">
        <v>461</v>
      </c>
      <c r="BX16" t="s">
        <v>155</v>
      </c>
      <c r="BY16" t="s">
        <v>69</v>
      </c>
      <c r="BZ16" t="s">
        <v>150</v>
      </c>
      <c r="CA16" t="s">
        <v>69</v>
      </c>
      <c r="CB16">
        <v>105.093</v>
      </c>
      <c r="CC16" t="s">
        <v>69</v>
      </c>
      <c r="CD16" t="s">
        <v>69</v>
      </c>
      <c r="CE16">
        <v>463</v>
      </c>
      <c r="CF16" t="s">
        <v>249</v>
      </c>
      <c r="CG16" t="s">
        <v>69</v>
      </c>
      <c r="CH16" t="s">
        <v>117</v>
      </c>
      <c r="CI16" t="s">
        <v>69</v>
      </c>
      <c r="CJ16">
        <v>121.154</v>
      </c>
      <c r="CK16" t="s">
        <v>69</v>
      </c>
      <c r="CL16" t="s">
        <v>69</v>
      </c>
      <c r="CM16">
        <v>468</v>
      </c>
      <c r="CN16" t="s">
        <v>74</v>
      </c>
      <c r="CO16" t="s">
        <v>69</v>
      </c>
      <c r="CP16" t="s">
        <v>75</v>
      </c>
      <c r="CQ16" t="s">
        <v>69</v>
      </c>
      <c r="CR16">
        <v>174.203</v>
      </c>
      <c r="CS16" t="s">
        <v>69</v>
      </c>
      <c r="CT16" t="s">
        <v>69</v>
      </c>
      <c r="CU16">
        <v>469</v>
      </c>
      <c r="CV16" t="s">
        <v>146</v>
      </c>
      <c r="CW16" t="s">
        <v>69</v>
      </c>
      <c r="CX16" t="s">
        <v>71</v>
      </c>
      <c r="CY16" t="s">
        <v>69</v>
      </c>
      <c r="CZ16">
        <v>115.13200000000001</v>
      </c>
      <c r="DA16" t="s">
        <v>69</v>
      </c>
      <c r="DB16" t="s">
        <v>69</v>
      </c>
      <c r="DC16">
        <v>470</v>
      </c>
      <c r="DD16" t="s">
        <v>70</v>
      </c>
      <c r="DE16" t="s">
        <v>69</v>
      </c>
      <c r="DF16" t="s">
        <v>71</v>
      </c>
      <c r="DG16" t="s">
        <v>69</v>
      </c>
      <c r="DH16">
        <v>75.066999999999993</v>
      </c>
      <c r="DI16" t="s">
        <v>69</v>
      </c>
      <c r="DJ16" t="s">
        <v>69</v>
      </c>
    </row>
    <row r="17" spans="1:114" x14ac:dyDescent="0.25">
      <c r="A17">
        <v>7</v>
      </c>
      <c r="B17" t="str">
        <f>HYPERLINK("http://www.ncbi.nlm.nih.gov/protein/XP_038299489.1","XP_038299489.1")</f>
        <v>XP_038299489.1</v>
      </c>
      <c r="C17">
        <v>136357</v>
      </c>
      <c r="D17" t="str">
        <f>HYPERLINK("http://www.ncbi.nlm.nih.gov/Taxonomy/Browser/wwwtax.cgi?mode=Info&amp;id=9615&amp;lvl=3&amp;lin=f&amp;keep=1&amp;srchmode=1&amp;unlock","9615")</f>
        <v>9615</v>
      </c>
      <c r="E17" t="s">
        <v>66</v>
      </c>
      <c r="F17" t="str">
        <f>HYPERLINK("http://www.ncbi.nlm.nih.gov/Taxonomy/Browser/wwwtax.cgi?mode=Info&amp;id=9615&amp;lvl=3&amp;lin=f&amp;keep=1&amp;srchmode=1&amp;unlock","Canis lupus familiaris")</f>
        <v>Canis lupus familiaris</v>
      </c>
      <c r="G17" t="s">
        <v>84</v>
      </c>
      <c r="H17" t="str">
        <f>HYPERLINK("http://www.ncbi.nlm.nih.gov/protein/XP_038299489.1","transmembrane protease serine 2 isoform X1")</f>
        <v>transmembrane protease serine 2 isoform X1</v>
      </c>
      <c r="I17" t="s">
        <v>269</v>
      </c>
      <c r="J17" t="s">
        <v>69</v>
      </c>
      <c r="K17">
        <v>280</v>
      </c>
      <c r="L17" t="s">
        <v>115</v>
      </c>
      <c r="M17" t="s">
        <v>69</v>
      </c>
      <c r="N17" t="s">
        <v>71</v>
      </c>
      <c r="O17" t="s">
        <v>69</v>
      </c>
      <c r="P17">
        <v>117.148</v>
      </c>
      <c r="Q17" t="s">
        <v>69</v>
      </c>
      <c r="R17" t="s">
        <v>69</v>
      </c>
      <c r="S17">
        <v>300</v>
      </c>
      <c r="T17" t="s">
        <v>119</v>
      </c>
      <c r="U17" t="s">
        <v>153</v>
      </c>
      <c r="V17" t="s">
        <v>120</v>
      </c>
      <c r="W17" t="s">
        <v>153</v>
      </c>
      <c r="X17">
        <v>147.131</v>
      </c>
      <c r="Y17" t="s">
        <v>69</v>
      </c>
      <c r="Z17" t="s">
        <v>69</v>
      </c>
      <c r="AA17">
        <v>419</v>
      </c>
      <c r="AB17" t="s">
        <v>72</v>
      </c>
      <c r="AC17" t="s">
        <v>69</v>
      </c>
      <c r="AD17" t="s">
        <v>71</v>
      </c>
      <c r="AE17" t="s">
        <v>69</v>
      </c>
      <c r="AF17">
        <v>131.17500000000001</v>
      </c>
      <c r="AG17" t="s">
        <v>69</v>
      </c>
      <c r="AH17" t="s">
        <v>69</v>
      </c>
      <c r="AI17">
        <v>435</v>
      </c>
      <c r="AJ17" t="s">
        <v>156</v>
      </c>
      <c r="AK17" t="s">
        <v>69</v>
      </c>
      <c r="AL17" t="s">
        <v>120</v>
      </c>
      <c r="AM17" t="s">
        <v>69</v>
      </c>
      <c r="AN17">
        <v>133.10400000000001</v>
      </c>
      <c r="AO17" t="s">
        <v>69</v>
      </c>
      <c r="AP17" t="s">
        <v>69</v>
      </c>
      <c r="AQ17">
        <v>437</v>
      </c>
      <c r="AR17" t="s">
        <v>249</v>
      </c>
      <c r="AS17" t="s">
        <v>69</v>
      </c>
      <c r="AT17" t="s">
        <v>117</v>
      </c>
      <c r="AU17" t="s">
        <v>69</v>
      </c>
      <c r="AV17">
        <v>121.154</v>
      </c>
      <c r="AW17" t="s">
        <v>69</v>
      </c>
      <c r="AX17" t="s">
        <v>69</v>
      </c>
      <c r="AY17">
        <v>440</v>
      </c>
      <c r="AZ17" t="s">
        <v>156</v>
      </c>
      <c r="BA17" t="s">
        <v>69</v>
      </c>
      <c r="BB17" t="s">
        <v>120</v>
      </c>
      <c r="BC17" t="s">
        <v>69</v>
      </c>
      <c r="BD17">
        <v>133.10400000000001</v>
      </c>
      <c r="BE17" t="s">
        <v>69</v>
      </c>
      <c r="BF17" t="s">
        <v>69</v>
      </c>
      <c r="BG17">
        <v>459</v>
      </c>
      <c r="BH17" t="s">
        <v>149</v>
      </c>
      <c r="BI17" t="s">
        <v>69</v>
      </c>
      <c r="BJ17" t="s">
        <v>150</v>
      </c>
      <c r="BK17" t="s">
        <v>69</v>
      </c>
      <c r="BL17">
        <v>119.119</v>
      </c>
      <c r="BM17" t="s">
        <v>69</v>
      </c>
      <c r="BN17" t="s">
        <v>69</v>
      </c>
      <c r="BO17">
        <v>461</v>
      </c>
      <c r="BP17" t="s">
        <v>250</v>
      </c>
      <c r="BQ17" t="s">
        <v>69</v>
      </c>
      <c r="BR17" t="s">
        <v>152</v>
      </c>
      <c r="BS17" t="s">
        <v>69</v>
      </c>
      <c r="BT17">
        <v>204.22800000000001</v>
      </c>
      <c r="BU17" t="s">
        <v>69</v>
      </c>
      <c r="BV17" t="s">
        <v>69</v>
      </c>
      <c r="BW17">
        <v>463</v>
      </c>
      <c r="BX17" t="s">
        <v>155</v>
      </c>
      <c r="BY17" t="s">
        <v>69</v>
      </c>
      <c r="BZ17" t="s">
        <v>150</v>
      </c>
      <c r="CA17" t="s">
        <v>69</v>
      </c>
      <c r="CB17">
        <v>105.093</v>
      </c>
      <c r="CC17" t="s">
        <v>69</v>
      </c>
      <c r="CD17" t="s">
        <v>69</v>
      </c>
      <c r="CE17">
        <v>465</v>
      </c>
      <c r="CF17" t="s">
        <v>249</v>
      </c>
      <c r="CG17" t="s">
        <v>69</v>
      </c>
      <c r="CH17" t="s">
        <v>117</v>
      </c>
      <c r="CI17" t="s">
        <v>69</v>
      </c>
      <c r="CJ17">
        <v>121.154</v>
      </c>
      <c r="CK17" t="s">
        <v>69</v>
      </c>
      <c r="CL17" t="s">
        <v>69</v>
      </c>
      <c r="CM17">
        <v>470</v>
      </c>
      <c r="CN17" t="s">
        <v>74</v>
      </c>
      <c r="CO17" t="s">
        <v>69</v>
      </c>
      <c r="CP17" t="s">
        <v>75</v>
      </c>
      <c r="CQ17" t="s">
        <v>69</v>
      </c>
      <c r="CR17">
        <v>174.203</v>
      </c>
      <c r="CS17" t="s">
        <v>69</v>
      </c>
      <c r="CT17" t="s">
        <v>69</v>
      </c>
      <c r="CU17">
        <v>471</v>
      </c>
      <c r="CV17" t="s">
        <v>146</v>
      </c>
      <c r="CW17" t="s">
        <v>69</v>
      </c>
      <c r="CX17" t="s">
        <v>71</v>
      </c>
      <c r="CY17" t="s">
        <v>69</v>
      </c>
      <c r="CZ17">
        <v>115.13200000000001</v>
      </c>
      <c r="DA17" t="s">
        <v>69</v>
      </c>
      <c r="DB17" t="s">
        <v>69</v>
      </c>
      <c r="DC17">
        <v>472</v>
      </c>
      <c r="DD17" t="s">
        <v>70</v>
      </c>
      <c r="DE17" t="s">
        <v>69</v>
      </c>
      <c r="DF17" t="s">
        <v>71</v>
      </c>
      <c r="DG17" t="s">
        <v>69</v>
      </c>
      <c r="DH17">
        <v>75.066999999999993</v>
      </c>
      <c r="DI17" t="s">
        <v>69</v>
      </c>
      <c r="DJ17" t="s">
        <v>69</v>
      </c>
    </row>
    <row r="18" spans="1:114" x14ac:dyDescent="0.25">
      <c r="A18">
        <v>7</v>
      </c>
      <c r="B18" t="str">
        <f>HYPERLINK("http://www.ncbi.nlm.nih.gov/protein/BAB70683.1","BAB70683.1")</f>
        <v>BAB70683.1</v>
      </c>
      <c r="C18">
        <v>158159</v>
      </c>
      <c r="D18" t="str">
        <f>HYPERLINK("http://www.ncbi.nlm.nih.gov/Taxonomy/Browser/wwwtax.cgi?mode=Info&amp;id=10116&amp;lvl=3&amp;lin=f&amp;keep=1&amp;srchmode=1&amp;unlock","10116")</f>
        <v>10116</v>
      </c>
      <c r="E18" t="s">
        <v>66</v>
      </c>
      <c r="F18" t="str">
        <f>HYPERLINK("http://www.ncbi.nlm.nih.gov/Taxonomy/Browser/wwwtax.cgi?mode=Info&amp;id=10116&amp;lvl=3&amp;lin=f&amp;keep=1&amp;srchmode=1&amp;unlock","Rattus norvegicus")</f>
        <v>Rattus norvegicus</v>
      </c>
      <c r="G18" t="s">
        <v>102</v>
      </c>
      <c r="H18" t="str">
        <f>HYPERLINK("http://www.ncbi.nlm.nih.gov/protein/BAB70683.1","TMPRSS2")</f>
        <v>TMPRSS2</v>
      </c>
      <c r="I18" t="s">
        <v>269</v>
      </c>
      <c r="J18" t="s">
        <v>69</v>
      </c>
      <c r="K18">
        <v>278</v>
      </c>
      <c r="L18" t="s">
        <v>115</v>
      </c>
      <c r="M18" t="s">
        <v>69</v>
      </c>
      <c r="N18" t="s">
        <v>71</v>
      </c>
      <c r="O18" t="s">
        <v>69</v>
      </c>
      <c r="P18">
        <v>117.148</v>
      </c>
      <c r="Q18" t="s">
        <v>69</v>
      </c>
      <c r="R18" t="s">
        <v>69</v>
      </c>
      <c r="S18">
        <v>298</v>
      </c>
      <c r="T18" t="s">
        <v>119</v>
      </c>
      <c r="U18" t="s">
        <v>153</v>
      </c>
      <c r="V18" t="s">
        <v>120</v>
      </c>
      <c r="W18" t="s">
        <v>153</v>
      </c>
      <c r="X18">
        <v>147.131</v>
      </c>
      <c r="Y18" t="s">
        <v>69</v>
      </c>
      <c r="Z18" t="s">
        <v>69</v>
      </c>
      <c r="AA18">
        <v>417</v>
      </c>
      <c r="AB18" t="s">
        <v>72</v>
      </c>
      <c r="AC18" t="s">
        <v>69</v>
      </c>
      <c r="AD18" t="s">
        <v>71</v>
      </c>
      <c r="AE18" t="s">
        <v>69</v>
      </c>
      <c r="AF18">
        <v>131.17500000000001</v>
      </c>
      <c r="AG18" t="s">
        <v>69</v>
      </c>
      <c r="AH18" t="s">
        <v>69</v>
      </c>
      <c r="AI18">
        <v>433</v>
      </c>
      <c r="AJ18" t="s">
        <v>156</v>
      </c>
      <c r="AK18" t="s">
        <v>69</v>
      </c>
      <c r="AL18" t="s">
        <v>120</v>
      </c>
      <c r="AM18" t="s">
        <v>69</v>
      </c>
      <c r="AN18">
        <v>133.10400000000001</v>
      </c>
      <c r="AO18" t="s">
        <v>69</v>
      </c>
      <c r="AP18" t="s">
        <v>69</v>
      </c>
      <c r="AQ18">
        <v>435</v>
      </c>
      <c r="AR18" t="s">
        <v>249</v>
      </c>
      <c r="AS18" t="s">
        <v>69</v>
      </c>
      <c r="AT18" t="s">
        <v>117</v>
      </c>
      <c r="AU18" t="s">
        <v>69</v>
      </c>
      <c r="AV18">
        <v>121.154</v>
      </c>
      <c r="AW18" t="s">
        <v>69</v>
      </c>
      <c r="AX18" t="s">
        <v>69</v>
      </c>
      <c r="AY18">
        <v>438</v>
      </c>
      <c r="AZ18" t="s">
        <v>156</v>
      </c>
      <c r="BA18" t="s">
        <v>69</v>
      </c>
      <c r="BB18" t="s">
        <v>120</v>
      </c>
      <c r="BC18" t="s">
        <v>69</v>
      </c>
      <c r="BD18">
        <v>133.10400000000001</v>
      </c>
      <c r="BE18" t="s">
        <v>69</v>
      </c>
      <c r="BF18" t="s">
        <v>69</v>
      </c>
      <c r="BG18">
        <v>457</v>
      </c>
      <c r="BH18" t="s">
        <v>149</v>
      </c>
      <c r="BI18" t="s">
        <v>69</v>
      </c>
      <c r="BJ18" t="s">
        <v>150</v>
      </c>
      <c r="BK18" t="s">
        <v>69</v>
      </c>
      <c r="BL18">
        <v>119.119</v>
      </c>
      <c r="BM18" t="s">
        <v>69</v>
      </c>
      <c r="BN18" t="s">
        <v>69</v>
      </c>
      <c r="BO18">
        <v>459</v>
      </c>
      <c r="BP18" t="s">
        <v>250</v>
      </c>
      <c r="BQ18" t="s">
        <v>69</v>
      </c>
      <c r="BR18" t="s">
        <v>152</v>
      </c>
      <c r="BS18" t="s">
        <v>69</v>
      </c>
      <c r="BT18">
        <v>204.22800000000001</v>
      </c>
      <c r="BU18" t="s">
        <v>69</v>
      </c>
      <c r="BV18" t="s">
        <v>69</v>
      </c>
      <c r="BW18">
        <v>461</v>
      </c>
      <c r="BX18" t="s">
        <v>155</v>
      </c>
      <c r="BY18" t="s">
        <v>69</v>
      </c>
      <c r="BZ18" t="s">
        <v>150</v>
      </c>
      <c r="CA18" t="s">
        <v>69</v>
      </c>
      <c r="CB18">
        <v>105.093</v>
      </c>
      <c r="CC18" t="s">
        <v>69</v>
      </c>
      <c r="CD18" t="s">
        <v>69</v>
      </c>
      <c r="CE18">
        <v>463</v>
      </c>
      <c r="CF18" t="s">
        <v>249</v>
      </c>
      <c r="CG18" t="s">
        <v>69</v>
      </c>
      <c r="CH18" t="s">
        <v>117</v>
      </c>
      <c r="CI18" t="s">
        <v>69</v>
      </c>
      <c r="CJ18">
        <v>121.154</v>
      </c>
      <c r="CK18" t="s">
        <v>69</v>
      </c>
      <c r="CL18" t="s">
        <v>69</v>
      </c>
      <c r="CM18">
        <v>468</v>
      </c>
      <c r="CN18" t="s">
        <v>74</v>
      </c>
      <c r="CO18" t="s">
        <v>69</v>
      </c>
      <c r="CP18" t="s">
        <v>75</v>
      </c>
      <c r="CQ18" t="s">
        <v>69</v>
      </c>
      <c r="CR18">
        <v>174.203</v>
      </c>
      <c r="CS18" t="s">
        <v>69</v>
      </c>
      <c r="CT18" t="s">
        <v>69</v>
      </c>
      <c r="CU18">
        <v>469</v>
      </c>
      <c r="CV18" t="s">
        <v>146</v>
      </c>
      <c r="CW18" t="s">
        <v>69</v>
      </c>
      <c r="CX18" t="s">
        <v>71</v>
      </c>
      <c r="CY18" t="s">
        <v>69</v>
      </c>
      <c r="CZ18">
        <v>115.13200000000001</v>
      </c>
      <c r="DA18" t="s">
        <v>69</v>
      </c>
      <c r="DB18" t="s">
        <v>69</v>
      </c>
      <c r="DC18">
        <v>470</v>
      </c>
      <c r="DD18" t="s">
        <v>70</v>
      </c>
      <c r="DE18" t="s">
        <v>69</v>
      </c>
      <c r="DF18" t="s">
        <v>71</v>
      </c>
      <c r="DG18" t="s">
        <v>69</v>
      </c>
      <c r="DH18">
        <v>75.066999999999993</v>
      </c>
      <c r="DI18" t="s">
        <v>69</v>
      </c>
      <c r="DJ18" t="s">
        <v>69</v>
      </c>
    </row>
    <row r="19" spans="1:114" x14ac:dyDescent="0.25">
      <c r="A19">
        <v>7</v>
      </c>
      <c r="B19" t="str">
        <f>HYPERLINK("http://www.ncbi.nlm.nih.gov/protein/XP_023094477.2","XP_023094477.2")</f>
        <v>XP_023094477.2</v>
      </c>
      <c r="C19">
        <v>74287</v>
      </c>
      <c r="D19" t="str">
        <f>HYPERLINK("http://www.ncbi.nlm.nih.gov/Taxonomy/Browser/wwwtax.cgi?mode=Info&amp;id=9685&amp;lvl=3&amp;lin=f&amp;keep=1&amp;srchmode=1&amp;unlock","9685")</f>
        <v>9685</v>
      </c>
      <c r="E19" t="s">
        <v>66</v>
      </c>
      <c r="F19" t="str">
        <f>HYPERLINK("http://www.ncbi.nlm.nih.gov/Taxonomy/Browser/wwwtax.cgi?mode=Info&amp;id=9685&amp;lvl=3&amp;lin=f&amp;keep=1&amp;srchmode=1&amp;unlock","Felis catus")</f>
        <v>Felis catus</v>
      </c>
      <c r="G19" t="s">
        <v>86</v>
      </c>
      <c r="H19" t="str">
        <f>HYPERLINK("http://www.ncbi.nlm.nih.gov/protein/XP_023094477.2","transmembrane protease serine 2")</f>
        <v>transmembrane protease serine 2</v>
      </c>
      <c r="I19" t="s">
        <v>269</v>
      </c>
      <c r="J19" t="s">
        <v>69</v>
      </c>
      <c r="K19">
        <v>280</v>
      </c>
      <c r="L19" t="s">
        <v>115</v>
      </c>
      <c r="M19" t="s">
        <v>69</v>
      </c>
      <c r="N19" t="s">
        <v>71</v>
      </c>
      <c r="O19" t="s">
        <v>69</v>
      </c>
      <c r="P19">
        <v>117.148</v>
      </c>
      <c r="Q19" t="s">
        <v>69</v>
      </c>
      <c r="R19" t="s">
        <v>69</v>
      </c>
      <c r="S19">
        <v>300</v>
      </c>
      <c r="T19" t="s">
        <v>119</v>
      </c>
      <c r="U19" t="s">
        <v>153</v>
      </c>
      <c r="V19" t="s">
        <v>120</v>
      </c>
      <c r="W19" t="s">
        <v>153</v>
      </c>
      <c r="X19">
        <v>147.131</v>
      </c>
      <c r="Y19" t="s">
        <v>69</v>
      </c>
      <c r="Z19" t="s">
        <v>69</v>
      </c>
      <c r="AA19">
        <v>419</v>
      </c>
      <c r="AB19" t="s">
        <v>72</v>
      </c>
      <c r="AC19" t="s">
        <v>69</v>
      </c>
      <c r="AD19" t="s">
        <v>71</v>
      </c>
      <c r="AE19" t="s">
        <v>69</v>
      </c>
      <c r="AF19">
        <v>131.17500000000001</v>
      </c>
      <c r="AG19" t="s">
        <v>69</v>
      </c>
      <c r="AH19" t="s">
        <v>69</v>
      </c>
      <c r="AI19">
        <v>435</v>
      </c>
      <c r="AJ19" t="s">
        <v>156</v>
      </c>
      <c r="AK19" t="s">
        <v>69</v>
      </c>
      <c r="AL19" t="s">
        <v>120</v>
      </c>
      <c r="AM19" t="s">
        <v>69</v>
      </c>
      <c r="AN19">
        <v>133.10400000000001</v>
      </c>
      <c r="AO19" t="s">
        <v>69</v>
      </c>
      <c r="AP19" t="s">
        <v>69</v>
      </c>
      <c r="AQ19">
        <v>437</v>
      </c>
      <c r="AR19" t="s">
        <v>249</v>
      </c>
      <c r="AS19" t="s">
        <v>69</v>
      </c>
      <c r="AT19" t="s">
        <v>117</v>
      </c>
      <c r="AU19" t="s">
        <v>69</v>
      </c>
      <c r="AV19">
        <v>121.154</v>
      </c>
      <c r="AW19" t="s">
        <v>69</v>
      </c>
      <c r="AX19" t="s">
        <v>69</v>
      </c>
      <c r="AY19">
        <v>440</v>
      </c>
      <c r="AZ19" t="s">
        <v>156</v>
      </c>
      <c r="BA19" t="s">
        <v>69</v>
      </c>
      <c r="BB19" t="s">
        <v>120</v>
      </c>
      <c r="BC19" t="s">
        <v>69</v>
      </c>
      <c r="BD19">
        <v>133.10400000000001</v>
      </c>
      <c r="BE19" t="s">
        <v>69</v>
      </c>
      <c r="BF19" t="s">
        <v>69</v>
      </c>
      <c r="BG19">
        <v>459</v>
      </c>
      <c r="BH19" t="s">
        <v>149</v>
      </c>
      <c r="BI19" t="s">
        <v>69</v>
      </c>
      <c r="BJ19" t="s">
        <v>150</v>
      </c>
      <c r="BK19" t="s">
        <v>69</v>
      </c>
      <c r="BL19">
        <v>119.119</v>
      </c>
      <c r="BM19" t="s">
        <v>69</v>
      </c>
      <c r="BN19" t="s">
        <v>69</v>
      </c>
      <c r="BO19">
        <v>461</v>
      </c>
      <c r="BP19" t="s">
        <v>250</v>
      </c>
      <c r="BQ19" t="s">
        <v>69</v>
      </c>
      <c r="BR19" t="s">
        <v>152</v>
      </c>
      <c r="BS19" t="s">
        <v>69</v>
      </c>
      <c r="BT19">
        <v>204.22800000000001</v>
      </c>
      <c r="BU19" t="s">
        <v>69</v>
      </c>
      <c r="BV19" t="s">
        <v>69</v>
      </c>
      <c r="BW19">
        <v>463</v>
      </c>
      <c r="BX19" t="s">
        <v>155</v>
      </c>
      <c r="BY19" t="s">
        <v>69</v>
      </c>
      <c r="BZ19" t="s">
        <v>150</v>
      </c>
      <c r="CA19" t="s">
        <v>69</v>
      </c>
      <c r="CB19">
        <v>105.093</v>
      </c>
      <c r="CC19" t="s">
        <v>69</v>
      </c>
      <c r="CD19" t="s">
        <v>69</v>
      </c>
      <c r="CE19">
        <v>465</v>
      </c>
      <c r="CF19" t="s">
        <v>249</v>
      </c>
      <c r="CG19" t="s">
        <v>69</v>
      </c>
      <c r="CH19" t="s">
        <v>117</v>
      </c>
      <c r="CI19" t="s">
        <v>69</v>
      </c>
      <c r="CJ19">
        <v>121.154</v>
      </c>
      <c r="CK19" t="s">
        <v>69</v>
      </c>
      <c r="CL19" t="s">
        <v>69</v>
      </c>
      <c r="CM19">
        <v>470</v>
      </c>
      <c r="CN19" t="s">
        <v>74</v>
      </c>
      <c r="CO19" t="s">
        <v>69</v>
      </c>
      <c r="CP19" t="s">
        <v>75</v>
      </c>
      <c r="CQ19" t="s">
        <v>69</v>
      </c>
      <c r="CR19">
        <v>174.203</v>
      </c>
      <c r="CS19" t="s">
        <v>69</v>
      </c>
      <c r="CT19" t="s">
        <v>69</v>
      </c>
      <c r="CU19">
        <v>471</v>
      </c>
      <c r="CV19" t="s">
        <v>146</v>
      </c>
      <c r="CW19" t="s">
        <v>69</v>
      </c>
      <c r="CX19" t="s">
        <v>71</v>
      </c>
      <c r="CY19" t="s">
        <v>69</v>
      </c>
      <c r="CZ19">
        <v>115.13200000000001</v>
      </c>
      <c r="DA19" t="s">
        <v>69</v>
      </c>
      <c r="DB19" t="s">
        <v>69</v>
      </c>
      <c r="DC19">
        <v>472</v>
      </c>
      <c r="DD19" t="s">
        <v>70</v>
      </c>
      <c r="DE19" t="s">
        <v>69</v>
      </c>
      <c r="DF19" t="s">
        <v>71</v>
      </c>
      <c r="DG19" t="s">
        <v>69</v>
      </c>
      <c r="DH19">
        <v>75.066999999999993</v>
      </c>
      <c r="DI19" t="s">
        <v>69</v>
      </c>
      <c r="DJ19" t="s">
        <v>69</v>
      </c>
    </row>
    <row r="20" spans="1:114" x14ac:dyDescent="0.25">
      <c r="A20">
        <v>7</v>
      </c>
      <c r="B20" t="str">
        <f>HYPERLINK("http://www.ncbi.nlm.nih.gov/protein/XP_042812429.1","XP_042812429.1")</f>
        <v>XP_042812429.1</v>
      </c>
      <c r="C20">
        <v>56089</v>
      </c>
      <c r="D20" t="str">
        <f>HYPERLINK("http://www.ncbi.nlm.nih.gov/Taxonomy/Browser/wwwtax.cgi?mode=Info&amp;id=9694&amp;lvl=3&amp;lin=f&amp;keep=1&amp;srchmode=1&amp;unlock","9694")</f>
        <v>9694</v>
      </c>
      <c r="E20" t="s">
        <v>66</v>
      </c>
      <c r="F20" t="str">
        <f>HYPERLINK("http://www.ncbi.nlm.nih.gov/Taxonomy/Browser/wwwtax.cgi?mode=Info&amp;id=9694&amp;lvl=3&amp;lin=f&amp;keep=1&amp;srchmode=1&amp;unlock","Panthera tigris")</f>
        <v>Panthera tigris</v>
      </c>
      <c r="G20" t="s">
        <v>89</v>
      </c>
      <c r="H20" t="str">
        <f>HYPERLINK("http://www.ncbi.nlm.nih.gov/protein/XP_042812429.1","transmembrane protease serine 2")</f>
        <v>transmembrane protease serine 2</v>
      </c>
      <c r="I20" t="s">
        <v>269</v>
      </c>
      <c r="J20" t="s">
        <v>69</v>
      </c>
      <c r="K20">
        <v>280</v>
      </c>
      <c r="L20" t="s">
        <v>115</v>
      </c>
      <c r="M20" t="s">
        <v>69</v>
      </c>
      <c r="N20" t="s">
        <v>71</v>
      </c>
      <c r="O20" t="s">
        <v>69</v>
      </c>
      <c r="P20">
        <v>117.148</v>
      </c>
      <c r="Q20" t="s">
        <v>69</v>
      </c>
      <c r="R20" t="s">
        <v>69</v>
      </c>
      <c r="S20">
        <v>300</v>
      </c>
      <c r="T20" t="s">
        <v>119</v>
      </c>
      <c r="U20" t="s">
        <v>153</v>
      </c>
      <c r="V20" t="s">
        <v>120</v>
      </c>
      <c r="W20" t="s">
        <v>153</v>
      </c>
      <c r="X20">
        <v>147.131</v>
      </c>
      <c r="Y20" t="s">
        <v>69</v>
      </c>
      <c r="Z20" t="s">
        <v>69</v>
      </c>
      <c r="AA20">
        <v>419</v>
      </c>
      <c r="AB20" t="s">
        <v>72</v>
      </c>
      <c r="AC20" t="s">
        <v>69</v>
      </c>
      <c r="AD20" t="s">
        <v>71</v>
      </c>
      <c r="AE20" t="s">
        <v>69</v>
      </c>
      <c r="AF20">
        <v>131.17500000000001</v>
      </c>
      <c r="AG20" t="s">
        <v>69</v>
      </c>
      <c r="AH20" t="s">
        <v>69</v>
      </c>
      <c r="AI20">
        <v>435</v>
      </c>
      <c r="AJ20" t="s">
        <v>156</v>
      </c>
      <c r="AK20" t="s">
        <v>69</v>
      </c>
      <c r="AL20" t="s">
        <v>120</v>
      </c>
      <c r="AM20" t="s">
        <v>69</v>
      </c>
      <c r="AN20">
        <v>133.10400000000001</v>
      </c>
      <c r="AO20" t="s">
        <v>69</v>
      </c>
      <c r="AP20" t="s">
        <v>69</v>
      </c>
      <c r="AQ20">
        <v>437</v>
      </c>
      <c r="AR20" t="s">
        <v>249</v>
      </c>
      <c r="AS20" t="s">
        <v>69</v>
      </c>
      <c r="AT20" t="s">
        <v>117</v>
      </c>
      <c r="AU20" t="s">
        <v>69</v>
      </c>
      <c r="AV20">
        <v>121.154</v>
      </c>
      <c r="AW20" t="s">
        <v>69</v>
      </c>
      <c r="AX20" t="s">
        <v>69</v>
      </c>
      <c r="AY20">
        <v>440</v>
      </c>
      <c r="AZ20" t="s">
        <v>156</v>
      </c>
      <c r="BA20" t="s">
        <v>69</v>
      </c>
      <c r="BB20" t="s">
        <v>120</v>
      </c>
      <c r="BC20" t="s">
        <v>69</v>
      </c>
      <c r="BD20">
        <v>133.10400000000001</v>
      </c>
      <c r="BE20" t="s">
        <v>69</v>
      </c>
      <c r="BF20" t="s">
        <v>69</v>
      </c>
      <c r="BG20">
        <v>459</v>
      </c>
      <c r="BH20" t="s">
        <v>149</v>
      </c>
      <c r="BI20" t="s">
        <v>69</v>
      </c>
      <c r="BJ20" t="s">
        <v>150</v>
      </c>
      <c r="BK20" t="s">
        <v>69</v>
      </c>
      <c r="BL20">
        <v>119.119</v>
      </c>
      <c r="BM20" t="s">
        <v>69</v>
      </c>
      <c r="BN20" t="s">
        <v>69</v>
      </c>
      <c r="BO20">
        <v>461</v>
      </c>
      <c r="BP20" t="s">
        <v>250</v>
      </c>
      <c r="BQ20" t="s">
        <v>69</v>
      </c>
      <c r="BR20" t="s">
        <v>152</v>
      </c>
      <c r="BS20" t="s">
        <v>69</v>
      </c>
      <c r="BT20">
        <v>204.22800000000001</v>
      </c>
      <c r="BU20" t="s">
        <v>69</v>
      </c>
      <c r="BV20" t="s">
        <v>69</v>
      </c>
      <c r="BW20">
        <v>463</v>
      </c>
      <c r="BX20" t="s">
        <v>155</v>
      </c>
      <c r="BY20" t="s">
        <v>69</v>
      </c>
      <c r="BZ20" t="s">
        <v>150</v>
      </c>
      <c r="CA20" t="s">
        <v>69</v>
      </c>
      <c r="CB20">
        <v>105.093</v>
      </c>
      <c r="CC20" t="s">
        <v>69</v>
      </c>
      <c r="CD20" t="s">
        <v>69</v>
      </c>
      <c r="CE20">
        <v>465</v>
      </c>
      <c r="CF20" t="s">
        <v>249</v>
      </c>
      <c r="CG20" t="s">
        <v>69</v>
      </c>
      <c r="CH20" t="s">
        <v>117</v>
      </c>
      <c r="CI20" t="s">
        <v>69</v>
      </c>
      <c r="CJ20">
        <v>121.154</v>
      </c>
      <c r="CK20" t="s">
        <v>69</v>
      </c>
      <c r="CL20" t="s">
        <v>69</v>
      </c>
      <c r="CM20">
        <v>470</v>
      </c>
      <c r="CN20" t="s">
        <v>74</v>
      </c>
      <c r="CO20" t="s">
        <v>69</v>
      </c>
      <c r="CP20" t="s">
        <v>75</v>
      </c>
      <c r="CQ20" t="s">
        <v>69</v>
      </c>
      <c r="CR20">
        <v>174.203</v>
      </c>
      <c r="CS20" t="s">
        <v>69</v>
      </c>
      <c r="CT20" t="s">
        <v>69</v>
      </c>
      <c r="CU20">
        <v>471</v>
      </c>
      <c r="CV20" t="s">
        <v>146</v>
      </c>
      <c r="CW20" t="s">
        <v>69</v>
      </c>
      <c r="CX20" t="s">
        <v>71</v>
      </c>
      <c r="CY20" t="s">
        <v>69</v>
      </c>
      <c r="CZ20">
        <v>115.13200000000001</v>
      </c>
      <c r="DA20" t="s">
        <v>69</v>
      </c>
      <c r="DB20" t="s">
        <v>69</v>
      </c>
      <c r="DC20">
        <v>472</v>
      </c>
      <c r="DD20" t="s">
        <v>70</v>
      </c>
      <c r="DE20" t="s">
        <v>69</v>
      </c>
      <c r="DF20" t="s">
        <v>71</v>
      </c>
      <c r="DG20" t="s">
        <v>69</v>
      </c>
      <c r="DH20">
        <v>75.066999999999993</v>
      </c>
      <c r="DI20" t="s">
        <v>69</v>
      </c>
      <c r="DJ20" t="s">
        <v>69</v>
      </c>
    </row>
    <row r="21" spans="1:114" x14ac:dyDescent="0.25">
      <c r="A21">
        <v>7</v>
      </c>
      <c r="B21" t="str">
        <f>HYPERLINK("http://www.ncbi.nlm.nih.gov/protein/CAD7693677.1","CAD7693677.1")</f>
        <v>CAD7693677.1</v>
      </c>
      <c r="C21">
        <v>27271</v>
      </c>
      <c r="D21" t="str">
        <f>HYPERLINK("http://www.ncbi.nlm.nih.gov/Taxonomy/Browser/wwwtax.cgi?mode=Info&amp;id=34880&amp;lvl=3&amp;lin=f&amp;keep=1&amp;srchmode=1&amp;unlock","34880")</f>
        <v>34880</v>
      </c>
      <c r="E21" t="s">
        <v>66</v>
      </c>
      <c r="F21" t="str">
        <f>HYPERLINK("http://www.ncbi.nlm.nih.gov/Taxonomy/Browser/wwwtax.cgi?mode=Info&amp;id=34880&amp;lvl=3&amp;lin=f&amp;keep=1&amp;srchmode=1&amp;unlock","Nyctereutes procyonoides")</f>
        <v>Nyctereutes procyonoides</v>
      </c>
      <c r="G21" t="s">
        <v>92</v>
      </c>
      <c r="H21" t="str">
        <f>HYPERLINK("http://www.ncbi.nlm.nih.gov/protein/CAD7693677.1","unnamed protein product")</f>
        <v>unnamed protein product</v>
      </c>
      <c r="I21" t="s">
        <v>269</v>
      </c>
      <c r="J21" t="s">
        <v>69</v>
      </c>
      <c r="K21">
        <v>280</v>
      </c>
      <c r="L21" t="s">
        <v>115</v>
      </c>
      <c r="M21" t="s">
        <v>69</v>
      </c>
      <c r="N21" t="s">
        <v>71</v>
      </c>
      <c r="O21" t="s">
        <v>69</v>
      </c>
      <c r="P21">
        <v>117.148</v>
      </c>
      <c r="Q21" t="s">
        <v>69</v>
      </c>
      <c r="R21" t="s">
        <v>69</v>
      </c>
      <c r="S21">
        <v>300</v>
      </c>
      <c r="T21" t="s">
        <v>119</v>
      </c>
      <c r="U21" t="s">
        <v>153</v>
      </c>
      <c r="V21" t="s">
        <v>120</v>
      </c>
      <c r="W21" t="s">
        <v>153</v>
      </c>
      <c r="X21">
        <v>147.131</v>
      </c>
      <c r="Y21" t="s">
        <v>69</v>
      </c>
      <c r="Z21" t="s">
        <v>69</v>
      </c>
      <c r="AA21">
        <v>419</v>
      </c>
      <c r="AB21" t="s">
        <v>72</v>
      </c>
      <c r="AC21" t="s">
        <v>69</v>
      </c>
      <c r="AD21" t="s">
        <v>71</v>
      </c>
      <c r="AE21" t="s">
        <v>69</v>
      </c>
      <c r="AF21">
        <v>131.17500000000001</v>
      </c>
      <c r="AG21" t="s">
        <v>69</v>
      </c>
      <c r="AH21" t="s">
        <v>69</v>
      </c>
      <c r="AI21">
        <v>435</v>
      </c>
      <c r="AJ21" t="s">
        <v>156</v>
      </c>
      <c r="AK21" t="s">
        <v>69</v>
      </c>
      <c r="AL21" t="s">
        <v>120</v>
      </c>
      <c r="AM21" t="s">
        <v>69</v>
      </c>
      <c r="AN21">
        <v>133.10400000000001</v>
      </c>
      <c r="AO21" t="s">
        <v>69</v>
      </c>
      <c r="AP21" t="s">
        <v>69</v>
      </c>
      <c r="AQ21">
        <v>437</v>
      </c>
      <c r="AR21" t="s">
        <v>249</v>
      </c>
      <c r="AS21" t="s">
        <v>69</v>
      </c>
      <c r="AT21" t="s">
        <v>117</v>
      </c>
      <c r="AU21" t="s">
        <v>69</v>
      </c>
      <c r="AV21">
        <v>121.154</v>
      </c>
      <c r="AW21" t="s">
        <v>69</v>
      </c>
      <c r="AX21" t="s">
        <v>69</v>
      </c>
      <c r="AY21">
        <v>440</v>
      </c>
      <c r="AZ21" t="s">
        <v>156</v>
      </c>
      <c r="BA21" t="s">
        <v>69</v>
      </c>
      <c r="BB21" t="s">
        <v>120</v>
      </c>
      <c r="BC21" t="s">
        <v>69</v>
      </c>
      <c r="BD21">
        <v>133.10400000000001</v>
      </c>
      <c r="BE21" t="s">
        <v>69</v>
      </c>
      <c r="BF21" t="s">
        <v>69</v>
      </c>
      <c r="BG21">
        <v>459</v>
      </c>
      <c r="BH21" t="s">
        <v>149</v>
      </c>
      <c r="BI21" t="s">
        <v>69</v>
      </c>
      <c r="BJ21" t="s">
        <v>150</v>
      </c>
      <c r="BK21" t="s">
        <v>69</v>
      </c>
      <c r="BL21">
        <v>119.119</v>
      </c>
      <c r="BM21" t="s">
        <v>69</v>
      </c>
      <c r="BN21" t="s">
        <v>69</v>
      </c>
      <c r="BO21">
        <v>461</v>
      </c>
      <c r="BP21" t="s">
        <v>250</v>
      </c>
      <c r="BQ21" t="s">
        <v>69</v>
      </c>
      <c r="BR21" t="s">
        <v>152</v>
      </c>
      <c r="BS21" t="s">
        <v>69</v>
      </c>
      <c r="BT21">
        <v>204.22800000000001</v>
      </c>
      <c r="BU21" t="s">
        <v>69</v>
      </c>
      <c r="BV21" t="s">
        <v>69</v>
      </c>
      <c r="BW21">
        <v>463</v>
      </c>
      <c r="BX21" t="s">
        <v>155</v>
      </c>
      <c r="BY21" t="s">
        <v>69</v>
      </c>
      <c r="BZ21" t="s">
        <v>150</v>
      </c>
      <c r="CA21" t="s">
        <v>69</v>
      </c>
      <c r="CB21">
        <v>105.093</v>
      </c>
      <c r="CC21" t="s">
        <v>69</v>
      </c>
      <c r="CD21" t="s">
        <v>69</v>
      </c>
      <c r="CE21">
        <v>465</v>
      </c>
      <c r="CF21" t="s">
        <v>249</v>
      </c>
      <c r="CG21" t="s">
        <v>69</v>
      </c>
      <c r="CH21" t="s">
        <v>117</v>
      </c>
      <c r="CI21" t="s">
        <v>69</v>
      </c>
      <c r="CJ21">
        <v>121.154</v>
      </c>
      <c r="CK21" t="s">
        <v>69</v>
      </c>
      <c r="CL21" t="s">
        <v>69</v>
      </c>
      <c r="CM21">
        <v>470</v>
      </c>
      <c r="CN21" t="s">
        <v>74</v>
      </c>
      <c r="CO21" t="s">
        <v>69</v>
      </c>
      <c r="CP21" t="s">
        <v>75</v>
      </c>
      <c r="CQ21" t="s">
        <v>69</v>
      </c>
      <c r="CR21">
        <v>174.203</v>
      </c>
      <c r="CS21" t="s">
        <v>69</v>
      </c>
      <c r="CT21" t="s">
        <v>69</v>
      </c>
      <c r="CU21">
        <v>471</v>
      </c>
      <c r="CV21" t="s">
        <v>146</v>
      </c>
      <c r="CW21" t="s">
        <v>69</v>
      </c>
      <c r="CX21" t="s">
        <v>71</v>
      </c>
      <c r="CY21" t="s">
        <v>69</v>
      </c>
      <c r="CZ21">
        <v>115.13200000000001</v>
      </c>
      <c r="DA21" t="s">
        <v>69</v>
      </c>
      <c r="DB21" t="s">
        <v>69</v>
      </c>
      <c r="DC21">
        <v>472</v>
      </c>
      <c r="DD21" t="s">
        <v>70</v>
      </c>
      <c r="DE21" t="s">
        <v>69</v>
      </c>
      <c r="DF21" t="s">
        <v>71</v>
      </c>
      <c r="DG21" t="s">
        <v>69</v>
      </c>
      <c r="DH21">
        <v>75.066999999999993</v>
      </c>
      <c r="DI21" t="s">
        <v>69</v>
      </c>
      <c r="DJ21" t="s">
        <v>69</v>
      </c>
    </row>
    <row r="22" spans="1:114" x14ac:dyDescent="0.25">
      <c r="A22">
        <v>7</v>
      </c>
      <c r="B22" t="str">
        <f>HYPERLINK("http://www.ncbi.nlm.nih.gov/protein/XP_025839165.1","XP_025839165.1")</f>
        <v>XP_025839165.1</v>
      </c>
      <c r="C22">
        <v>38435</v>
      </c>
      <c r="D22" t="str">
        <f>HYPERLINK("http://www.ncbi.nlm.nih.gov/Taxonomy/Browser/wwwtax.cgi?mode=Info&amp;id=9627&amp;lvl=3&amp;lin=f&amp;keep=1&amp;srchmode=1&amp;unlock","9627")</f>
        <v>9627</v>
      </c>
      <c r="E22" t="s">
        <v>66</v>
      </c>
      <c r="F22" t="str">
        <f>HYPERLINK("http://www.ncbi.nlm.nih.gov/Taxonomy/Browser/wwwtax.cgi?mode=Info&amp;id=9627&amp;lvl=3&amp;lin=f&amp;keep=1&amp;srchmode=1&amp;unlock","Vulpes vulpes")</f>
        <v>Vulpes vulpes</v>
      </c>
      <c r="G22" t="s">
        <v>95</v>
      </c>
      <c r="H22" t="str">
        <f>HYPERLINK("http://www.ncbi.nlm.nih.gov/protein/XP_025839165.1","transmembrane protease serine 2")</f>
        <v>transmembrane protease serine 2</v>
      </c>
      <c r="I22" t="s">
        <v>269</v>
      </c>
      <c r="J22" t="s">
        <v>69</v>
      </c>
      <c r="K22">
        <v>280</v>
      </c>
      <c r="L22" t="s">
        <v>115</v>
      </c>
      <c r="M22" t="s">
        <v>69</v>
      </c>
      <c r="N22" t="s">
        <v>71</v>
      </c>
      <c r="O22" t="s">
        <v>69</v>
      </c>
      <c r="P22">
        <v>117.148</v>
      </c>
      <c r="Q22" t="s">
        <v>69</v>
      </c>
      <c r="R22" t="s">
        <v>69</v>
      </c>
      <c r="S22">
        <v>300</v>
      </c>
      <c r="T22" t="s">
        <v>119</v>
      </c>
      <c r="U22" t="s">
        <v>153</v>
      </c>
      <c r="V22" t="s">
        <v>120</v>
      </c>
      <c r="W22" t="s">
        <v>153</v>
      </c>
      <c r="X22">
        <v>147.131</v>
      </c>
      <c r="Y22" t="s">
        <v>69</v>
      </c>
      <c r="Z22" t="s">
        <v>69</v>
      </c>
      <c r="AA22">
        <v>419</v>
      </c>
      <c r="AB22" t="s">
        <v>72</v>
      </c>
      <c r="AC22" t="s">
        <v>69</v>
      </c>
      <c r="AD22" t="s">
        <v>71</v>
      </c>
      <c r="AE22" t="s">
        <v>69</v>
      </c>
      <c r="AF22">
        <v>131.17500000000001</v>
      </c>
      <c r="AG22" t="s">
        <v>69</v>
      </c>
      <c r="AH22" t="s">
        <v>69</v>
      </c>
      <c r="AI22">
        <v>435</v>
      </c>
      <c r="AJ22" t="s">
        <v>156</v>
      </c>
      <c r="AK22" t="s">
        <v>69</v>
      </c>
      <c r="AL22" t="s">
        <v>120</v>
      </c>
      <c r="AM22" t="s">
        <v>69</v>
      </c>
      <c r="AN22">
        <v>133.10400000000001</v>
      </c>
      <c r="AO22" t="s">
        <v>69</v>
      </c>
      <c r="AP22" t="s">
        <v>69</v>
      </c>
      <c r="AQ22">
        <v>437</v>
      </c>
      <c r="AR22" t="s">
        <v>249</v>
      </c>
      <c r="AS22" t="s">
        <v>69</v>
      </c>
      <c r="AT22" t="s">
        <v>117</v>
      </c>
      <c r="AU22" t="s">
        <v>69</v>
      </c>
      <c r="AV22">
        <v>121.154</v>
      </c>
      <c r="AW22" t="s">
        <v>69</v>
      </c>
      <c r="AX22" t="s">
        <v>69</v>
      </c>
      <c r="AY22">
        <v>440</v>
      </c>
      <c r="AZ22" t="s">
        <v>156</v>
      </c>
      <c r="BA22" t="s">
        <v>69</v>
      </c>
      <c r="BB22" t="s">
        <v>120</v>
      </c>
      <c r="BC22" t="s">
        <v>69</v>
      </c>
      <c r="BD22">
        <v>133.10400000000001</v>
      </c>
      <c r="BE22" t="s">
        <v>69</v>
      </c>
      <c r="BF22" t="s">
        <v>69</v>
      </c>
      <c r="BG22">
        <v>459</v>
      </c>
      <c r="BH22" t="s">
        <v>149</v>
      </c>
      <c r="BI22" t="s">
        <v>69</v>
      </c>
      <c r="BJ22" t="s">
        <v>150</v>
      </c>
      <c r="BK22" t="s">
        <v>69</v>
      </c>
      <c r="BL22">
        <v>119.119</v>
      </c>
      <c r="BM22" t="s">
        <v>69</v>
      </c>
      <c r="BN22" t="s">
        <v>69</v>
      </c>
      <c r="BO22">
        <v>461</v>
      </c>
      <c r="BP22" t="s">
        <v>250</v>
      </c>
      <c r="BQ22" t="s">
        <v>69</v>
      </c>
      <c r="BR22" t="s">
        <v>152</v>
      </c>
      <c r="BS22" t="s">
        <v>69</v>
      </c>
      <c r="BT22">
        <v>204.22800000000001</v>
      </c>
      <c r="BU22" t="s">
        <v>69</v>
      </c>
      <c r="BV22" t="s">
        <v>69</v>
      </c>
      <c r="BW22">
        <v>463</v>
      </c>
      <c r="BX22" t="s">
        <v>155</v>
      </c>
      <c r="BY22" t="s">
        <v>69</v>
      </c>
      <c r="BZ22" t="s">
        <v>150</v>
      </c>
      <c r="CA22" t="s">
        <v>69</v>
      </c>
      <c r="CB22">
        <v>105.093</v>
      </c>
      <c r="CC22" t="s">
        <v>69</v>
      </c>
      <c r="CD22" t="s">
        <v>69</v>
      </c>
      <c r="CE22">
        <v>465</v>
      </c>
      <c r="CF22" t="s">
        <v>249</v>
      </c>
      <c r="CG22" t="s">
        <v>69</v>
      </c>
      <c r="CH22" t="s">
        <v>117</v>
      </c>
      <c r="CI22" t="s">
        <v>69</v>
      </c>
      <c r="CJ22">
        <v>121.154</v>
      </c>
      <c r="CK22" t="s">
        <v>69</v>
      </c>
      <c r="CL22" t="s">
        <v>69</v>
      </c>
      <c r="CM22">
        <v>470</v>
      </c>
      <c r="CN22" t="s">
        <v>74</v>
      </c>
      <c r="CO22" t="s">
        <v>69</v>
      </c>
      <c r="CP22" t="s">
        <v>75</v>
      </c>
      <c r="CQ22" t="s">
        <v>69</v>
      </c>
      <c r="CR22">
        <v>174.203</v>
      </c>
      <c r="CS22" t="s">
        <v>69</v>
      </c>
      <c r="CT22" t="s">
        <v>69</v>
      </c>
      <c r="CU22">
        <v>471</v>
      </c>
      <c r="CV22" t="s">
        <v>146</v>
      </c>
      <c r="CW22" t="s">
        <v>69</v>
      </c>
      <c r="CX22" t="s">
        <v>71</v>
      </c>
      <c r="CY22" t="s">
        <v>69</v>
      </c>
      <c r="CZ22">
        <v>115.13200000000001</v>
      </c>
      <c r="DA22" t="s">
        <v>69</v>
      </c>
      <c r="DB22" t="s">
        <v>69</v>
      </c>
      <c r="DC22">
        <v>472</v>
      </c>
      <c r="DD22" t="s">
        <v>70</v>
      </c>
      <c r="DE22" t="s">
        <v>69</v>
      </c>
      <c r="DF22" t="s">
        <v>71</v>
      </c>
      <c r="DG22" t="s">
        <v>69</v>
      </c>
      <c r="DH22">
        <v>75.066999999999993</v>
      </c>
      <c r="DI22" t="s">
        <v>69</v>
      </c>
      <c r="DJ22" t="s">
        <v>69</v>
      </c>
    </row>
    <row r="23" spans="1:114" x14ac:dyDescent="0.25">
      <c r="A23">
        <v>7</v>
      </c>
      <c r="B23" t="str">
        <f>HYPERLINK("http://www.ncbi.nlm.nih.gov/protein/XP_042812026.1","XP_042812026.1")</f>
        <v>XP_042812026.1</v>
      </c>
      <c r="C23">
        <v>53677</v>
      </c>
      <c r="D23" t="str">
        <f>HYPERLINK("http://www.ncbi.nlm.nih.gov/Taxonomy/Browser/wwwtax.cgi?mode=Info&amp;id=9689&amp;lvl=3&amp;lin=f&amp;keep=1&amp;srchmode=1&amp;unlock","9689")</f>
        <v>9689</v>
      </c>
      <c r="E23" t="s">
        <v>66</v>
      </c>
      <c r="F23" t="str">
        <f>HYPERLINK("http://www.ncbi.nlm.nih.gov/Taxonomy/Browser/wwwtax.cgi?mode=Info&amp;id=9689&amp;lvl=3&amp;lin=f&amp;keep=1&amp;srchmode=1&amp;unlock","Panthera leo")</f>
        <v>Panthera leo</v>
      </c>
      <c r="G23" t="s">
        <v>90</v>
      </c>
      <c r="H23" t="str">
        <f>HYPERLINK("http://www.ncbi.nlm.nih.gov/protein/XP_042812026.1","transmembrane protease serine 2")</f>
        <v>transmembrane protease serine 2</v>
      </c>
      <c r="I23" t="s">
        <v>269</v>
      </c>
      <c r="J23" t="s">
        <v>69</v>
      </c>
      <c r="K23">
        <v>280</v>
      </c>
      <c r="L23" t="s">
        <v>115</v>
      </c>
      <c r="M23" t="s">
        <v>69</v>
      </c>
      <c r="N23" t="s">
        <v>71</v>
      </c>
      <c r="O23" t="s">
        <v>69</v>
      </c>
      <c r="P23">
        <v>117.148</v>
      </c>
      <c r="Q23" t="s">
        <v>69</v>
      </c>
      <c r="R23" t="s">
        <v>69</v>
      </c>
      <c r="S23">
        <v>300</v>
      </c>
      <c r="T23" t="s">
        <v>119</v>
      </c>
      <c r="U23" t="s">
        <v>153</v>
      </c>
      <c r="V23" t="s">
        <v>120</v>
      </c>
      <c r="W23" t="s">
        <v>153</v>
      </c>
      <c r="X23">
        <v>147.131</v>
      </c>
      <c r="Y23" t="s">
        <v>69</v>
      </c>
      <c r="Z23" t="s">
        <v>69</v>
      </c>
      <c r="AA23">
        <v>419</v>
      </c>
      <c r="AB23" t="s">
        <v>72</v>
      </c>
      <c r="AC23" t="s">
        <v>69</v>
      </c>
      <c r="AD23" t="s">
        <v>71</v>
      </c>
      <c r="AE23" t="s">
        <v>69</v>
      </c>
      <c r="AF23">
        <v>131.17500000000001</v>
      </c>
      <c r="AG23" t="s">
        <v>69</v>
      </c>
      <c r="AH23" t="s">
        <v>69</v>
      </c>
      <c r="AI23">
        <v>435</v>
      </c>
      <c r="AJ23" t="s">
        <v>156</v>
      </c>
      <c r="AK23" t="s">
        <v>69</v>
      </c>
      <c r="AL23" t="s">
        <v>120</v>
      </c>
      <c r="AM23" t="s">
        <v>69</v>
      </c>
      <c r="AN23">
        <v>133.10400000000001</v>
      </c>
      <c r="AO23" t="s">
        <v>69</v>
      </c>
      <c r="AP23" t="s">
        <v>69</v>
      </c>
      <c r="AQ23">
        <v>437</v>
      </c>
      <c r="AR23" t="s">
        <v>249</v>
      </c>
      <c r="AS23" t="s">
        <v>69</v>
      </c>
      <c r="AT23" t="s">
        <v>117</v>
      </c>
      <c r="AU23" t="s">
        <v>69</v>
      </c>
      <c r="AV23">
        <v>121.154</v>
      </c>
      <c r="AW23" t="s">
        <v>69</v>
      </c>
      <c r="AX23" t="s">
        <v>69</v>
      </c>
      <c r="AY23">
        <v>440</v>
      </c>
      <c r="AZ23" t="s">
        <v>156</v>
      </c>
      <c r="BA23" t="s">
        <v>69</v>
      </c>
      <c r="BB23" t="s">
        <v>120</v>
      </c>
      <c r="BC23" t="s">
        <v>69</v>
      </c>
      <c r="BD23">
        <v>133.10400000000001</v>
      </c>
      <c r="BE23" t="s">
        <v>69</v>
      </c>
      <c r="BF23" t="s">
        <v>69</v>
      </c>
      <c r="BG23">
        <v>459</v>
      </c>
      <c r="BH23" t="s">
        <v>149</v>
      </c>
      <c r="BI23" t="s">
        <v>69</v>
      </c>
      <c r="BJ23" t="s">
        <v>150</v>
      </c>
      <c r="BK23" t="s">
        <v>69</v>
      </c>
      <c r="BL23">
        <v>119.119</v>
      </c>
      <c r="BM23" t="s">
        <v>69</v>
      </c>
      <c r="BN23" t="s">
        <v>69</v>
      </c>
      <c r="BO23">
        <v>461</v>
      </c>
      <c r="BP23" t="s">
        <v>250</v>
      </c>
      <c r="BQ23" t="s">
        <v>69</v>
      </c>
      <c r="BR23" t="s">
        <v>152</v>
      </c>
      <c r="BS23" t="s">
        <v>69</v>
      </c>
      <c r="BT23">
        <v>204.22800000000001</v>
      </c>
      <c r="BU23" t="s">
        <v>69</v>
      </c>
      <c r="BV23" t="s">
        <v>69</v>
      </c>
      <c r="BW23">
        <v>463</v>
      </c>
      <c r="BX23" t="s">
        <v>155</v>
      </c>
      <c r="BY23" t="s">
        <v>69</v>
      </c>
      <c r="BZ23" t="s">
        <v>150</v>
      </c>
      <c r="CA23" t="s">
        <v>69</v>
      </c>
      <c r="CB23">
        <v>105.093</v>
      </c>
      <c r="CC23" t="s">
        <v>69</v>
      </c>
      <c r="CD23" t="s">
        <v>69</v>
      </c>
      <c r="CE23">
        <v>465</v>
      </c>
      <c r="CF23" t="s">
        <v>249</v>
      </c>
      <c r="CG23" t="s">
        <v>69</v>
      </c>
      <c r="CH23" t="s">
        <v>117</v>
      </c>
      <c r="CI23" t="s">
        <v>69</v>
      </c>
      <c r="CJ23">
        <v>121.154</v>
      </c>
      <c r="CK23" t="s">
        <v>69</v>
      </c>
      <c r="CL23" t="s">
        <v>69</v>
      </c>
      <c r="CM23">
        <v>470</v>
      </c>
      <c r="CN23" t="s">
        <v>74</v>
      </c>
      <c r="CO23" t="s">
        <v>69</v>
      </c>
      <c r="CP23" t="s">
        <v>75</v>
      </c>
      <c r="CQ23" t="s">
        <v>69</v>
      </c>
      <c r="CR23">
        <v>174.203</v>
      </c>
      <c r="CS23" t="s">
        <v>69</v>
      </c>
      <c r="CT23" t="s">
        <v>69</v>
      </c>
      <c r="CU23">
        <v>471</v>
      </c>
      <c r="CV23" t="s">
        <v>146</v>
      </c>
      <c r="CW23" t="s">
        <v>69</v>
      </c>
      <c r="CX23" t="s">
        <v>71</v>
      </c>
      <c r="CY23" t="s">
        <v>69</v>
      </c>
      <c r="CZ23">
        <v>115.13200000000001</v>
      </c>
      <c r="DA23" t="s">
        <v>69</v>
      </c>
      <c r="DB23" t="s">
        <v>69</v>
      </c>
      <c r="DC23">
        <v>472</v>
      </c>
      <c r="DD23" t="s">
        <v>70</v>
      </c>
      <c r="DE23" t="s">
        <v>69</v>
      </c>
      <c r="DF23" t="s">
        <v>71</v>
      </c>
      <c r="DG23" t="s">
        <v>69</v>
      </c>
      <c r="DH23">
        <v>75.066999999999993</v>
      </c>
      <c r="DI23" t="s">
        <v>69</v>
      </c>
      <c r="DJ23" t="s">
        <v>69</v>
      </c>
    </row>
    <row r="24" spans="1:114" x14ac:dyDescent="0.25">
      <c r="A24">
        <v>7</v>
      </c>
      <c r="B24" t="str">
        <f>HYPERLINK("http://www.ncbi.nlm.nih.gov/protein/XP_030185863.1","XP_030185863.1")</f>
        <v>XP_030185863.1</v>
      </c>
      <c r="C24">
        <v>42175</v>
      </c>
      <c r="D24" t="str">
        <f>HYPERLINK("http://www.ncbi.nlm.nih.gov/Taxonomy/Browser/wwwtax.cgi?mode=Info&amp;id=61383&amp;lvl=3&amp;lin=f&amp;keep=1&amp;srchmode=1&amp;unlock","61383")</f>
        <v>61383</v>
      </c>
      <c r="E24" t="s">
        <v>66</v>
      </c>
      <c r="F24" t="str">
        <f>HYPERLINK("http://www.ncbi.nlm.nih.gov/Taxonomy/Browser/wwwtax.cgi?mode=Info&amp;id=61383&amp;lvl=3&amp;lin=f&amp;keep=1&amp;srchmode=1&amp;unlock","Lynx canadensis")</f>
        <v>Lynx canadensis</v>
      </c>
      <c r="G24" t="s">
        <v>105</v>
      </c>
      <c r="H24" t="str">
        <f>HYPERLINK("http://www.ncbi.nlm.nih.gov/protein/XP_030185863.1","transmembrane protease serine 2")</f>
        <v>transmembrane protease serine 2</v>
      </c>
      <c r="I24" t="s">
        <v>269</v>
      </c>
      <c r="J24" t="s">
        <v>69</v>
      </c>
      <c r="K24">
        <v>280</v>
      </c>
      <c r="L24" t="s">
        <v>115</v>
      </c>
      <c r="M24" t="s">
        <v>69</v>
      </c>
      <c r="N24" t="s">
        <v>71</v>
      </c>
      <c r="O24" t="s">
        <v>69</v>
      </c>
      <c r="P24">
        <v>117.148</v>
      </c>
      <c r="Q24" t="s">
        <v>69</v>
      </c>
      <c r="R24" t="s">
        <v>69</v>
      </c>
      <c r="S24">
        <v>300</v>
      </c>
      <c r="T24" t="s">
        <v>119</v>
      </c>
      <c r="U24" t="s">
        <v>153</v>
      </c>
      <c r="V24" t="s">
        <v>120</v>
      </c>
      <c r="W24" t="s">
        <v>153</v>
      </c>
      <c r="X24">
        <v>147.131</v>
      </c>
      <c r="Y24" t="s">
        <v>69</v>
      </c>
      <c r="Z24" t="s">
        <v>69</v>
      </c>
      <c r="AA24">
        <v>419</v>
      </c>
      <c r="AB24" t="s">
        <v>72</v>
      </c>
      <c r="AC24" t="s">
        <v>69</v>
      </c>
      <c r="AD24" t="s">
        <v>71</v>
      </c>
      <c r="AE24" t="s">
        <v>69</v>
      </c>
      <c r="AF24">
        <v>131.17500000000001</v>
      </c>
      <c r="AG24" t="s">
        <v>69</v>
      </c>
      <c r="AH24" t="s">
        <v>69</v>
      </c>
      <c r="AI24">
        <v>435</v>
      </c>
      <c r="AJ24" t="s">
        <v>156</v>
      </c>
      <c r="AK24" t="s">
        <v>69</v>
      </c>
      <c r="AL24" t="s">
        <v>120</v>
      </c>
      <c r="AM24" t="s">
        <v>69</v>
      </c>
      <c r="AN24">
        <v>133.10400000000001</v>
      </c>
      <c r="AO24" t="s">
        <v>69</v>
      </c>
      <c r="AP24" t="s">
        <v>69</v>
      </c>
      <c r="AQ24">
        <v>437</v>
      </c>
      <c r="AR24" t="s">
        <v>249</v>
      </c>
      <c r="AS24" t="s">
        <v>69</v>
      </c>
      <c r="AT24" t="s">
        <v>117</v>
      </c>
      <c r="AU24" t="s">
        <v>69</v>
      </c>
      <c r="AV24">
        <v>121.154</v>
      </c>
      <c r="AW24" t="s">
        <v>69</v>
      </c>
      <c r="AX24" t="s">
        <v>69</v>
      </c>
      <c r="AY24">
        <v>440</v>
      </c>
      <c r="AZ24" t="s">
        <v>156</v>
      </c>
      <c r="BA24" t="s">
        <v>69</v>
      </c>
      <c r="BB24" t="s">
        <v>120</v>
      </c>
      <c r="BC24" t="s">
        <v>69</v>
      </c>
      <c r="BD24">
        <v>133.10400000000001</v>
      </c>
      <c r="BE24" t="s">
        <v>69</v>
      </c>
      <c r="BF24" t="s">
        <v>69</v>
      </c>
      <c r="BG24">
        <v>459</v>
      </c>
      <c r="BH24" t="s">
        <v>149</v>
      </c>
      <c r="BI24" t="s">
        <v>69</v>
      </c>
      <c r="BJ24" t="s">
        <v>150</v>
      </c>
      <c r="BK24" t="s">
        <v>69</v>
      </c>
      <c r="BL24">
        <v>119.119</v>
      </c>
      <c r="BM24" t="s">
        <v>69</v>
      </c>
      <c r="BN24" t="s">
        <v>69</v>
      </c>
      <c r="BO24">
        <v>461</v>
      </c>
      <c r="BP24" t="s">
        <v>250</v>
      </c>
      <c r="BQ24" t="s">
        <v>69</v>
      </c>
      <c r="BR24" t="s">
        <v>152</v>
      </c>
      <c r="BS24" t="s">
        <v>69</v>
      </c>
      <c r="BT24">
        <v>204.22800000000001</v>
      </c>
      <c r="BU24" t="s">
        <v>69</v>
      </c>
      <c r="BV24" t="s">
        <v>69</v>
      </c>
      <c r="BW24">
        <v>463</v>
      </c>
      <c r="BX24" t="s">
        <v>155</v>
      </c>
      <c r="BY24" t="s">
        <v>69</v>
      </c>
      <c r="BZ24" t="s">
        <v>150</v>
      </c>
      <c r="CA24" t="s">
        <v>69</v>
      </c>
      <c r="CB24">
        <v>105.093</v>
      </c>
      <c r="CC24" t="s">
        <v>69</v>
      </c>
      <c r="CD24" t="s">
        <v>69</v>
      </c>
      <c r="CE24">
        <v>465</v>
      </c>
      <c r="CF24" t="s">
        <v>249</v>
      </c>
      <c r="CG24" t="s">
        <v>69</v>
      </c>
      <c r="CH24" t="s">
        <v>117</v>
      </c>
      <c r="CI24" t="s">
        <v>69</v>
      </c>
      <c r="CJ24">
        <v>121.154</v>
      </c>
      <c r="CK24" t="s">
        <v>69</v>
      </c>
      <c r="CL24" t="s">
        <v>69</v>
      </c>
      <c r="CM24">
        <v>470</v>
      </c>
      <c r="CN24" t="s">
        <v>74</v>
      </c>
      <c r="CO24" t="s">
        <v>69</v>
      </c>
      <c r="CP24" t="s">
        <v>75</v>
      </c>
      <c r="CQ24" t="s">
        <v>69</v>
      </c>
      <c r="CR24">
        <v>174.203</v>
      </c>
      <c r="CS24" t="s">
        <v>69</v>
      </c>
      <c r="CT24" t="s">
        <v>69</v>
      </c>
      <c r="CU24">
        <v>471</v>
      </c>
      <c r="CV24" t="s">
        <v>146</v>
      </c>
      <c r="CW24" t="s">
        <v>69</v>
      </c>
      <c r="CX24" t="s">
        <v>71</v>
      </c>
      <c r="CY24" t="s">
        <v>69</v>
      </c>
      <c r="CZ24">
        <v>115.13200000000001</v>
      </c>
      <c r="DA24" t="s">
        <v>69</v>
      </c>
      <c r="DB24" t="s">
        <v>69</v>
      </c>
      <c r="DC24">
        <v>472</v>
      </c>
      <c r="DD24" t="s">
        <v>70</v>
      </c>
      <c r="DE24" t="s">
        <v>69</v>
      </c>
      <c r="DF24" t="s">
        <v>71</v>
      </c>
      <c r="DG24" t="s">
        <v>69</v>
      </c>
      <c r="DH24">
        <v>75.066999999999993</v>
      </c>
      <c r="DI24" t="s">
        <v>69</v>
      </c>
      <c r="DJ24" t="s">
        <v>69</v>
      </c>
    </row>
    <row r="25" spans="1:114" x14ac:dyDescent="0.25">
      <c r="A25">
        <v>7</v>
      </c>
      <c r="B25" t="str">
        <f>HYPERLINK("http://www.ncbi.nlm.nih.gov/protein/XP_046956446.1","XP_046956446.1")</f>
        <v>XP_046956446.1</v>
      </c>
      <c r="C25">
        <v>38764</v>
      </c>
      <c r="D25" t="str">
        <f>HYPERLINK("http://www.ncbi.nlm.nih.gov/Taxonomy/Browser/wwwtax.cgi?mode=Info&amp;id=61384&amp;lvl=3&amp;lin=f&amp;keep=1&amp;srchmode=1&amp;unlock","61384")</f>
        <v>61384</v>
      </c>
      <c r="E25" t="s">
        <v>66</v>
      </c>
      <c r="F25" t="str">
        <f>HYPERLINK("http://www.ncbi.nlm.nih.gov/Taxonomy/Browser/wwwtax.cgi?mode=Info&amp;id=61384&amp;lvl=3&amp;lin=f&amp;keep=1&amp;srchmode=1&amp;unlock","Lynx rufus")</f>
        <v>Lynx rufus</v>
      </c>
      <c r="G25" t="s">
        <v>93</v>
      </c>
      <c r="H25" t="str">
        <f>HYPERLINK("http://www.ncbi.nlm.nih.gov/protein/XP_046956446.1","transmembrane protease serine 2-like")</f>
        <v>transmembrane protease serine 2-like</v>
      </c>
      <c r="I25" t="s">
        <v>269</v>
      </c>
      <c r="J25" t="s">
        <v>69</v>
      </c>
      <c r="K25">
        <v>280</v>
      </c>
      <c r="L25" t="s">
        <v>115</v>
      </c>
      <c r="M25" t="s">
        <v>69</v>
      </c>
      <c r="N25" t="s">
        <v>71</v>
      </c>
      <c r="O25" t="s">
        <v>69</v>
      </c>
      <c r="P25">
        <v>117.148</v>
      </c>
      <c r="Q25" t="s">
        <v>69</v>
      </c>
      <c r="R25" t="s">
        <v>69</v>
      </c>
      <c r="S25">
        <v>300</v>
      </c>
      <c r="T25" t="s">
        <v>119</v>
      </c>
      <c r="U25" t="s">
        <v>153</v>
      </c>
      <c r="V25" t="s">
        <v>120</v>
      </c>
      <c r="W25" t="s">
        <v>153</v>
      </c>
      <c r="X25">
        <v>147.131</v>
      </c>
      <c r="Y25" t="s">
        <v>69</v>
      </c>
      <c r="Z25" t="s">
        <v>69</v>
      </c>
      <c r="AA25">
        <v>419</v>
      </c>
      <c r="AB25" t="s">
        <v>72</v>
      </c>
      <c r="AC25" t="s">
        <v>69</v>
      </c>
      <c r="AD25" t="s">
        <v>71</v>
      </c>
      <c r="AE25" t="s">
        <v>69</v>
      </c>
      <c r="AF25">
        <v>131.17500000000001</v>
      </c>
      <c r="AG25" t="s">
        <v>69</v>
      </c>
      <c r="AH25" t="s">
        <v>69</v>
      </c>
      <c r="AI25">
        <v>435</v>
      </c>
      <c r="AJ25" t="s">
        <v>156</v>
      </c>
      <c r="AK25" t="s">
        <v>69</v>
      </c>
      <c r="AL25" t="s">
        <v>120</v>
      </c>
      <c r="AM25" t="s">
        <v>69</v>
      </c>
      <c r="AN25">
        <v>133.10400000000001</v>
      </c>
      <c r="AO25" t="s">
        <v>69</v>
      </c>
      <c r="AP25" t="s">
        <v>69</v>
      </c>
      <c r="AQ25">
        <v>437</v>
      </c>
      <c r="AR25" t="s">
        <v>249</v>
      </c>
      <c r="AS25" t="s">
        <v>69</v>
      </c>
      <c r="AT25" t="s">
        <v>117</v>
      </c>
      <c r="AU25" t="s">
        <v>69</v>
      </c>
      <c r="AV25">
        <v>121.154</v>
      </c>
      <c r="AW25" t="s">
        <v>69</v>
      </c>
      <c r="AX25" t="s">
        <v>69</v>
      </c>
      <c r="AY25">
        <v>440</v>
      </c>
      <c r="AZ25" t="s">
        <v>156</v>
      </c>
      <c r="BA25" t="s">
        <v>69</v>
      </c>
      <c r="BB25" t="s">
        <v>120</v>
      </c>
      <c r="BC25" t="s">
        <v>69</v>
      </c>
      <c r="BD25">
        <v>133.10400000000001</v>
      </c>
      <c r="BE25" t="s">
        <v>69</v>
      </c>
      <c r="BF25" t="s">
        <v>69</v>
      </c>
      <c r="BG25">
        <v>459</v>
      </c>
      <c r="BH25" t="s">
        <v>149</v>
      </c>
      <c r="BI25" t="s">
        <v>69</v>
      </c>
      <c r="BJ25" t="s">
        <v>150</v>
      </c>
      <c r="BK25" t="s">
        <v>69</v>
      </c>
      <c r="BL25">
        <v>119.119</v>
      </c>
      <c r="BM25" t="s">
        <v>69</v>
      </c>
      <c r="BN25" t="s">
        <v>69</v>
      </c>
      <c r="BO25">
        <v>461</v>
      </c>
      <c r="BP25" t="s">
        <v>250</v>
      </c>
      <c r="BQ25" t="s">
        <v>69</v>
      </c>
      <c r="BR25" t="s">
        <v>152</v>
      </c>
      <c r="BS25" t="s">
        <v>69</v>
      </c>
      <c r="BT25">
        <v>204.22800000000001</v>
      </c>
      <c r="BU25" t="s">
        <v>69</v>
      </c>
      <c r="BV25" t="s">
        <v>69</v>
      </c>
      <c r="BW25">
        <v>463</v>
      </c>
      <c r="BX25" t="s">
        <v>155</v>
      </c>
      <c r="BY25" t="s">
        <v>69</v>
      </c>
      <c r="BZ25" t="s">
        <v>150</v>
      </c>
      <c r="CA25" t="s">
        <v>69</v>
      </c>
      <c r="CB25">
        <v>105.093</v>
      </c>
      <c r="CC25" t="s">
        <v>69</v>
      </c>
      <c r="CD25" t="s">
        <v>69</v>
      </c>
      <c r="CE25">
        <v>465</v>
      </c>
      <c r="CF25" t="s">
        <v>249</v>
      </c>
      <c r="CG25" t="s">
        <v>69</v>
      </c>
      <c r="CH25" t="s">
        <v>117</v>
      </c>
      <c r="CI25" t="s">
        <v>69</v>
      </c>
      <c r="CJ25">
        <v>121.154</v>
      </c>
      <c r="CK25" t="s">
        <v>69</v>
      </c>
      <c r="CL25" t="s">
        <v>69</v>
      </c>
      <c r="CM25">
        <v>470</v>
      </c>
      <c r="CN25" t="s">
        <v>74</v>
      </c>
      <c r="CO25" t="s">
        <v>69</v>
      </c>
      <c r="CP25" t="s">
        <v>75</v>
      </c>
      <c r="CQ25" t="s">
        <v>69</v>
      </c>
      <c r="CR25">
        <v>174.203</v>
      </c>
      <c r="CS25" t="s">
        <v>69</v>
      </c>
      <c r="CT25" t="s">
        <v>69</v>
      </c>
      <c r="CU25">
        <v>471</v>
      </c>
      <c r="CV25" t="s">
        <v>146</v>
      </c>
      <c r="CW25" t="s">
        <v>69</v>
      </c>
      <c r="CX25" t="s">
        <v>71</v>
      </c>
      <c r="CY25" t="s">
        <v>69</v>
      </c>
      <c r="CZ25">
        <v>115.13200000000001</v>
      </c>
      <c r="DA25" t="s">
        <v>69</v>
      </c>
      <c r="DB25" t="s">
        <v>69</v>
      </c>
      <c r="DC25">
        <v>472</v>
      </c>
      <c r="DD25" t="s">
        <v>70</v>
      </c>
      <c r="DE25" t="s">
        <v>69</v>
      </c>
      <c r="DF25" t="s">
        <v>71</v>
      </c>
      <c r="DG25" t="s">
        <v>69</v>
      </c>
      <c r="DH25">
        <v>75.066999999999993</v>
      </c>
      <c r="DI25" t="s">
        <v>69</v>
      </c>
      <c r="DJ25" t="s">
        <v>69</v>
      </c>
    </row>
    <row r="26" spans="1:114" x14ac:dyDescent="0.25">
      <c r="A26">
        <v>7</v>
      </c>
      <c r="B26" t="str">
        <f>HYPERLINK("http://www.ncbi.nlm.nih.gov/protein/XP_015846796.1","XP_015846796.1")</f>
        <v>XP_015846796.1</v>
      </c>
      <c r="C26">
        <v>54287</v>
      </c>
      <c r="D26" t="str">
        <f>HYPERLINK("http://www.ncbi.nlm.nih.gov/Taxonomy/Browser/wwwtax.cgi?mode=Info&amp;id=230844&amp;lvl=3&amp;lin=f&amp;keep=1&amp;srchmode=1&amp;unlock","230844")</f>
        <v>230844</v>
      </c>
      <c r="E26" t="s">
        <v>66</v>
      </c>
      <c r="F26" t="str">
        <f>HYPERLINK("http://www.ncbi.nlm.nih.gov/Taxonomy/Browser/wwwtax.cgi?mode=Info&amp;id=230844&amp;lvl=3&amp;lin=f&amp;keep=1&amp;srchmode=1&amp;unlock","Peromyscus maniculatus bairdii")</f>
        <v>Peromyscus maniculatus bairdii</v>
      </c>
      <c r="G26" t="s">
        <v>88</v>
      </c>
      <c r="H26" t="str">
        <f>HYPERLINK("http://www.ncbi.nlm.nih.gov/protein/XP_015846796.1","transmembrane protease serine 2")</f>
        <v>transmembrane protease serine 2</v>
      </c>
      <c r="I26" t="s">
        <v>269</v>
      </c>
      <c r="J26" t="s">
        <v>69</v>
      </c>
      <c r="K26">
        <v>282</v>
      </c>
      <c r="L26" t="s">
        <v>115</v>
      </c>
      <c r="M26" t="s">
        <v>69</v>
      </c>
      <c r="N26" t="s">
        <v>71</v>
      </c>
      <c r="O26" t="s">
        <v>69</v>
      </c>
      <c r="P26">
        <v>117.148</v>
      </c>
      <c r="Q26" t="s">
        <v>69</v>
      </c>
      <c r="R26" t="s">
        <v>69</v>
      </c>
      <c r="S26">
        <v>302</v>
      </c>
      <c r="T26" t="s">
        <v>119</v>
      </c>
      <c r="U26" t="s">
        <v>153</v>
      </c>
      <c r="V26" t="s">
        <v>120</v>
      </c>
      <c r="W26" t="s">
        <v>153</v>
      </c>
      <c r="X26">
        <v>147.131</v>
      </c>
      <c r="Y26" t="s">
        <v>69</v>
      </c>
      <c r="Z26" t="s">
        <v>69</v>
      </c>
      <c r="AA26">
        <v>421</v>
      </c>
      <c r="AB26" t="s">
        <v>72</v>
      </c>
      <c r="AC26" t="s">
        <v>69</v>
      </c>
      <c r="AD26" t="s">
        <v>71</v>
      </c>
      <c r="AE26" t="s">
        <v>69</v>
      </c>
      <c r="AF26">
        <v>131.17500000000001</v>
      </c>
      <c r="AG26" t="s">
        <v>69</v>
      </c>
      <c r="AH26" t="s">
        <v>69</v>
      </c>
      <c r="AI26">
        <v>437</v>
      </c>
      <c r="AJ26" t="s">
        <v>156</v>
      </c>
      <c r="AK26" t="s">
        <v>69</v>
      </c>
      <c r="AL26" t="s">
        <v>120</v>
      </c>
      <c r="AM26" t="s">
        <v>69</v>
      </c>
      <c r="AN26">
        <v>133.10400000000001</v>
      </c>
      <c r="AO26" t="s">
        <v>69</v>
      </c>
      <c r="AP26" t="s">
        <v>69</v>
      </c>
      <c r="AQ26">
        <v>439</v>
      </c>
      <c r="AR26" t="s">
        <v>249</v>
      </c>
      <c r="AS26" t="s">
        <v>69</v>
      </c>
      <c r="AT26" t="s">
        <v>117</v>
      </c>
      <c r="AU26" t="s">
        <v>69</v>
      </c>
      <c r="AV26">
        <v>121.154</v>
      </c>
      <c r="AW26" t="s">
        <v>69</v>
      </c>
      <c r="AX26" t="s">
        <v>69</v>
      </c>
      <c r="AY26">
        <v>442</v>
      </c>
      <c r="AZ26" t="s">
        <v>156</v>
      </c>
      <c r="BA26" t="s">
        <v>69</v>
      </c>
      <c r="BB26" t="s">
        <v>120</v>
      </c>
      <c r="BC26" t="s">
        <v>69</v>
      </c>
      <c r="BD26">
        <v>133.10400000000001</v>
      </c>
      <c r="BE26" t="s">
        <v>69</v>
      </c>
      <c r="BF26" t="s">
        <v>69</v>
      </c>
      <c r="BG26">
        <v>461</v>
      </c>
      <c r="BH26" t="s">
        <v>149</v>
      </c>
      <c r="BI26" t="s">
        <v>69</v>
      </c>
      <c r="BJ26" t="s">
        <v>150</v>
      </c>
      <c r="BK26" t="s">
        <v>69</v>
      </c>
      <c r="BL26">
        <v>119.119</v>
      </c>
      <c r="BM26" t="s">
        <v>69</v>
      </c>
      <c r="BN26" t="s">
        <v>69</v>
      </c>
      <c r="BO26">
        <v>463</v>
      </c>
      <c r="BP26" t="s">
        <v>250</v>
      </c>
      <c r="BQ26" t="s">
        <v>69</v>
      </c>
      <c r="BR26" t="s">
        <v>152</v>
      </c>
      <c r="BS26" t="s">
        <v>69</v>
      </c>
      <c r="BT26">
        <v>204.22800000000001</v>
      </c>
      <c r="BU26" t="s">
        <v>69</v>
      </c>
      <c r="BV26" t="s">
        <v>69</v>
      </c>
      <c r="BW26">
        <v>465</v>
      </c>
      <c r="BX26" t="s">
        <v>155</v>
      </c>
      <c r="BY26" t="s">
        <v>69</v>
      </c>
      <c r="BZ26" t="s">
        <v>150</v>
      </c>
      <c r="CA26" t="s">
        <v>69</v>
      </c>
      <c r="CB26">
        <v>105.093</v>
      </c>
      <c r="CC26" t="s">
        <v>69</v>
      </c>
      <c r="CD26" t="s">
        <v>69</v>
      </c>
      <c r="CE26">
        <v>467</v>
      </c>
      <c r="CF26" t="s">
        <v>249</v>
      </c>
      <c r="CG26" t="s">
        <v>69</v>
      </c>
      <c r="CH26" t="s">
        <v>117</v>
      </c>
      <c r="CI26" t="s">
        <v>69</v>
      </c>
      <c r="CJ26">
        <v>121.154</v>
      </c>
      <c r="CK26" t="s">
        <v>69</v>
      </c>
      <c r="CL26" t="s">
        <v>69</v>
      </c>
      <c r="CM26">
        <v>472</v>
      </c>
      <c r="CN26" t="s">
        <v>74</v>
      </c>
      <c r="CO26" t="s">
        <v>69</v>
      </c>
      <c r="CP26" t="s">
        <v>75</v>
      </c>
      <c r="CQ26" t="s">
        <v>69</v>
      </c>
      <c r="CR26">
        <v>174.203</v>
      </c>
      <c r="CS26" t="s">
        <v>69</v>
      </c>
      <c r="CT26" t="s">
        <v>69</v>
      </c>
      <c r="CU26">
        <v>473</v>
      </c>
      <c r="CV26" t="s">
        <v>146</v>
      </c>
      <c r="CW26" t="s">
        <v>69</v>
      </c>
      <c r="CX26" t="s">
        <v>71</v>
      </c>
      <c r="CY26" t="s">
        <v>69</v>
      </c>
      <c r="CZ26">
        <v>115.13200000000001</v>
      </c>
      <c r="DA26" t="s">
        <v>69</v>
      </c>
      <c r="DB26" t="s">
        <v>69</v>
      </c>
      <c r="DC26">
        <v>474</v>
      </c>
      <c r="DD26" t="s">
        <v>70</v>
      </c>
      <c r="DE26" t="s">
        <v>69</v>
      </c>
      <c r="DF26" t="s">
        <v>71</v>
      </c>
      <c r="DG26" t="s">
        <v>69</v>
      </c>
      <c r="DH26">
        <v>75.066999999999993</v>
      </c>
      <c r="DI26" t="s">
        <v>69</v>
      </c>
      <c r="DJ26" t="s">
        <v>69</v>
      </c>
    </row>
    <row r="27" spans="1:114" x14ac:dyDescent="0.25">
      <c r="A27">
        <v>7</v>
      </c>
      <c r="B27" t="str">
        <f>HYPERLINK("http://www.ncbi.nlm.nih.gov/protein/XP_015990074.2","XP_015990074.2")</f>
        <v>XP_015990074.2</v>
      </c>
      <c r="C27">
        <v>117142</v>
      </c>
      <c r="D27" t="str">
        <f>HYPERLINK("http://www.ncbi.nlm.nih.gov/Taxonomy/Browser/wwwtax.cgi?mode=Info&amp;id=9407&amp;lvl=3&amp;lin=f&amp;keep=1&amp;srchmode=1&amp;unlock","9407")</f>
        <v>9407</v>
      </c>
      <c r="E27" t="s">
        <v>66</v>
      </c>
      <c r="F27" t="str">
        <f>HYPERLINK("http://www.ncbi.nlm.nih.gov/Taxonomy/Browser/wwwtax.cgi?mode=Info&amp;id=9407&amp;lvl=3&amp;lin=f&amp;keep=1&amp;srchmode=1&amp;unlock","Rousettus aegyptiacus")</f>
        <v>Rousettus aegyptiacus</v>
      </c>
      <c r="G27" t="s">
        <v>103</v>
      </c>
      <c r="H27" t="str">
        <f>HYPERLINK("http://www.ncbi.nlm.nih.gov/protein/XP_015990074.2","transmembrane protease serine 2")</f>
        <v>transmembrane protease serine 2</v>
      </c>
      <c r="I27" t="s">
        <v>269</v>
      </c>
      <c r="J27" t="s">
        <v>69</v>
      </c>
      <c r="K27">
        <v>283</v>
      </c>
      <c r="L27" t="s">
        <v>115</v>
      </c>
      <c r="M27" t="s">
        <v>69</v>
      </c>
      <c r="N27" t="s">
        <v>71</v>
      </c>
      <c r="O27" t="s">
        <v>69</v>
      </c>
      <c r="P27">
        <v>117.148</v>
      </c>
      <c r="Q27" t="s">
        <v>69</v>
      </c>
      <c r="R27" t="s">
        <v>69</v>
      </c>
      <c r="S27">
        <v>303</v>
      </c>
      <c r="T27" t="s">
        <v>119</v>
      </c>
      <c r="U27" t="s">
        <v>153</v>
      </c>
      <c r="V27" t="s">
        <v>120</v>
      </c>
      <c r="W27" t="s">
        <v>153</v>
      </c>
      <c r="X27">
        <v>147.131</v>
      </c>
      <c r="Y27" t="s">
        <v>69</v>
      </c>
      <c r="Z27" t="s">
        <v>69</v>
      </c>
      <c r="AA27">
        <v>422</v>
      </c>
      <c r="AB27" t="s">
        <v>72</v>
      </c>
      <c r="AC27" t="s">
        <v>69</v>
      </c>
      <c r="AD27" t="s">
        <v>71</v>
      </c>
      <c r="AE27" t="s">
        <v>69</v>
      </c>
      <c r="AF27">
        <v>131.17500000000001</v>
      </c>
      <c r="AG27" t="s">
        <v>69</v>
      </c>
      <c r="AH27" t="s">
        <v>69</v>
      </c>
      <c r="AI27">
        <v>438</v>
      </c>
      <c r="AJ27" t="s">
        <v>156</v>
      </c>
      <c r="AK27" t="s">
        <v>69</v>
      </c>
      <c r="AL27" t="s">
        <v>120</v>
      </c>
      <c r="AM27" t="s">
        <v>69</v>
      </c>
      <c r="AN27">
        <v>133.10400000000001</v>
      </c>
      <c r="AO27" t="s">
        <v>69</v>
      </c>
      <c r="AP27" t="s">
        <v>69</v>
      </c>
      <c r="AQ27">
        <v>440</v>
      </c>
      <c r="AR27" t="s">
        <v>249</v>
      </c>
      <c r="AS27" t="s">
        <v>69</v>
      </c>
      <c r="AT27" t="s">
        <v>117</v>
      </c>
      <c r="AU27" t="s">
        <v>69</v>
      </c>
      <c r="AV27">
        <v>121.154</v>
      </c>
      <c r="AW27" t="s">
        <v>69</v>
      </c>
      <c r="AX27" t="s">
        <v>69</v>
      </c>
      <c r="AY27">
        <v>443</v>
      </c>
      <c r="AZ27" t="s">
        <v>156</v>
      </c>
      <c r="BA27" t="s">
        <v>69</v>
      </c>
      <c r="BB27" t="s">
        <v>120</v>
      </c>
      <c r="BC27" t="s">
        <v>69</v>
      </c>
      <c r="BD27">
        <v>133.10400000000001</v>
      </c>
      <c r="BE27" t="s">
        <v>69</v>
      </c>
      <c r="BF27" t="s">
        <v>69</v>
      </c>
      <c r="BG27">
        <v>462</v>
      </c>
      <c r="BH27" t="s">
        <v>149</v>
      </c>
      <c r="BI27" t="s">
        <v>69</v>
      </c>
      <c r="BJ27" t="s">
        <v>150</v>
      </c>
      <c r="BK27" t="s">
        <v>69</v>
      </c>
      <c r="BL27">
        <v>119.119</v>
      </c>
      <c r="BM27" t="s">
        <v>69</v>
      </c>
      <c r="BN27" t="s">
        <v>69</v>
      </c>
      <c r="BO27">
        <v>464</v>
      </c>
      <c r="BP27" t="s">
        <v>250</v>
      </c>
      <c r="BQ27" t="s">
        <v>69</v>
      </c>
      <c r="BR27" t="s">
        <v>152</v>
      </c>
      <c r="BS27" t="s">
        <v>69</v>
      </c>
      <c r="BT27">
        <v>204.22800000000001</v>
      </c>
      <c r="BU27" t="s">
        <v>69</v>
      </c>
      <c r="BV27" t="s">
        <v>69</v>
      </c>
      <c r="BW27">
        <v>466</v>
      </c>
      <c r="BX27" t="s">
        <v>155</v>
      </c>
      <c r="BY27" t="s">
        <v>69</v>
      </c>
      <c r="BZ27" t="s">
        <v>150</v>
      </c>
      <c r="CA27" t="s">
        <v>69</v>
      </c>
      <c r="CB27">
        <v>105.093</v>
      </c>
      <c r="CC27" t="s">
        <v>69</v>
      </c>
      <c r="CD27" t="s">
        <v>69</v>
      </c>
      <c r="CE27">
        <v>468</v>
      </c>
      <c r="CF27" t="s">
        <v>249</v>
      </c>
      <c r="CG27" t="s">
        <v>69</v>
      </c>
      <c r="CH27" t="s">
        <v>117</v>
      </c>
      <c r="CI27" t="s">
        <v>69</v>
      </c>
      <c r="CJ27">
        <v>121.154</v>
      </c>
      <c r="CK27" t="s">
        <v>69</v>
      </c>
      <c r="CL27" t="s">
        <v>69</v>
      </c>
      <c r="CM27">
        <v>473</v>
      </c>
      <c r="CN27" t="s">
        <v>74</v>
      </c>
      <c r="CO27" t="s">
        <v>69</v>
      </c>
      <c r="CP27" t="s">
        <v>75</v>
      </c>
      <c r="CQ27" t="s">
        <v>69</v>
      </c>
      <c r="CR27">
        <v>174.203</v>
      </c>
      <c r="CS27" t="s">
        <v>69</v>
      </c>
      <c r="CT27" t="s">
        <v>69</v>
      </c>
      <c r="CU27">
        <v>474</v>
      </c>
      <c r="CV27" t="s">
        <v>146</v>
      </c>
      <c r="CW27" t="s">
        <v>69</v>
      </c>
      <c r="CX27" t="s">
        <v>71</v>
      </c>
      <c r="CY27" t="s">
        <v>69</v>
      </c>
      <c r="CZ27">
        <v>115.13200000000001</v>
      </c>
      <c r="DA27" t="s">
        <v>69</v>
      </c>
      <c r="DB27" t="s">
        <v>69</v>
      </c>
      <c r="DC27">
        <v>475</v>
      </c>
      <c r="DD27" t="s">
        <v>70</v>
      </c>
      <c r="DE27" t="s">
        <v>69</v>
      </c>
      <c r="DF27" t="s">
        <v>71</v>
      </c>
      <c r="DG27" t="s">
        <v>69</v>
      </c>
      <c r="DH27">
        <v>75.066999999999993</v>
      </c>
      <c r="DI27" t="s">
        <v>69</v>
      </c>
      <c r="DJ27" t="s">
        <v>69</v>
      </c>
    </row>
    <row r="28" spans="1:114" x14ac:dyDescent="0.25">
      <c r="A28">
        <v>7</v>
      </c>
      <c r="B28" t="str">
        <f>HYPERLINK("http://www.ncbi.nlm.nih.gov/protein/XP_012971684.1","XP_012971684.1")</f>
        <v>XP_012971684.1</v>
      </c>
      <c r="C28">
        <v>54410</v>
      </c>
      <c r="D28" t="str">
        <f>HYPERLINK("http://www.ncbi.nlm.nih.gov/Taxonomy/Browser/wwwtax.cgi?mode=Info&amp;id=10036&amp;lvl=3&amp;lin=f&amp;keep=1&amp;srchmode=1&amp;unlock","10036")</f>
        <v>10036</v>
      </c>
      <c r="E28" t="s">
        <v>66</v>
      </c>
      <c r="F28" t="str">
        <f>HYPERLINK("http://www.ncbi.nlm.nih.gov/Taxonomy/Browser/wwwtax.cgi?mode=Info&amp;id=10036&amp;lvl=3&amp;lin=f&amp;keep=1&amp;srchmode=1&amp;unlock","Mesocricetus auratus")</f>
        <v>Mesocricetus auratus</v>
      </c>
      <c r="G28" t="s">
        <v>87</v>
      </c>
      <c r="H28" t="str">
        <f>HYPERLINK("http://www.ncbi.nlm.nih.gov/protein/XP_012971684.1","transmembrane protease serine 2 isoform X4")</f>
        <v>transmembrane protease serine 2 isoform X4</v>
      </c>
      <c r="I28" t="s">
        <v>269</v>
      </c>
      <c r="J28" t="s">
        <v>69</v>
      </c>
      <c r="K28">
        <v>279</v>
      </c>
      <c r="L28" t="s">
        <v>115</v>
      </c>
      <c r="M28" t="s">
        <v>69</v>
      </c>
      <c r="N28" t="s">
        <v>71</v>
      </c>
      <c r="O28" t="s">
        <v>69</v>
      </c>
      <c r="P28">
        <v>117.148</v>
      </c>
      <c r="Q28" t="s">
        <v>69</v>
      </c>
      <c r="R28" t="s">
        <v>69</v>
      </c>
      <c r="S28">
        <v>299</v>
      </c>
      <c r="T28" t="s">
        <v>119</v>
      </c>
      <c r="U28" t="s">
        <v>153</v>
      </c>
      <c r="V28" t="s">
        <v>120</v>
      </c>
      <c r="W28" t="s">
        <v>153</v>
      </c>
      <c r="X28">
        <v>147.131</v>
      </c>
      <c r="Y28" t="s">
        <v>69</v>
      </c>
      <c r="Z28" t="s">
        <v>69</v>
      </c>
      <c r="AA28">
        <v>418</v>
      </c>
      <c r="AB28" t="s">
        <v>72</v>
      </c>
      <c r="AC28" t="s">
        <v>69</v>
      </c>
      <c r="AD28" t="s">
        <v>71</v>
      </c>
      <c r="AE28" t="s">
        <v>69</v>
      </c>
      <c r="AF28">
        <v>131.17500000000001</v>
      </c>
      <c r="AG28" t="s">
        <v>69</v>
      </c>
      <c r="AH28" t="s">
        <v>69</v>
      </c>
      <c r="AI28">
        <v>434</v>
      </c>
      <c r="AJ28" t="s">
        <v>156</v>
      </c>
      <c r="AK28" t="s">
        <v>69</v>
      </c>
      <c r="AL28" t="s">
        <v>120</v>
      </c>
      <c r="AM28" t="s">
        <v>69</v>
      </c>
      <c r="AN28">
        <v>133.10400000000001</v>
      </c>
      <c r="AO28" t="s">
        <v>69</v>
      </c>
      <c r="AP28" t="s">
        <v>69</v>
      </c>
      <c r="AQ28">
        <v>436</v>
      </c>
      <c r="AR28" t="s">
        <v>249</v>
      </c>
      <c r="AS28" t="s">
        <v>69</v>
      </c>
      <c r="AT28" t="s">
        <v>117</v>
      </c>
      <c r="AU28" t="s">
        <v>69</v>
      </c>
      <c r="AV28">
        <v>121.154</v>
      </c>
      <c r="AW28" t="s">
        <v>69</v>
      </c>
      <c r="AX28" t="s">
        <v>69</v>
      </c>
      <c r="AY28">
        <v>439</v>
      </c>
      <c r="AZ28" t="s">
        <v>156</v>
      </c>
      <c r="BA28" t="s">
        <v>69</v>
      </c>
      <c r="BB28" t="s">
        <v>120</v>
      </c>
      <c r="BC28" t="s">
        <v>69</v>
      </c>
      <c r="BD28">
        <v>133.10400000000001</v>
      </c>
      <c r="BE28" t="s">
        <v>69</v>
      </c>
      <c r="BF28" t="s">
        <v>69</v>
      </c>
      <c r="BG28">
        <v>458</v>
      </c>
      <c r="BH28" t="s">
        <v>149</v>
      </c>
      <c r="BI28" t="s">
        <v>69</v>
      </c>
      <c r="BJ28" t="s">
        <v>150</v>
      </c>
      <c r="BK28" t="s">
        <v>69</v>
      </c>
      <c r="BL28">
        <v>119.119</v>
      </c>
      <c r="BM28" t="s">
        <v>69</v>
      </c>
      <c r="BN28" t="s">
        <v>69</v>
      </c>
      <c r="BO28">
        <v>460</v>
      </c>
      <c r="BP28" t="s">
        <v>250</v>
      </c>
      <c r="BQ28" t="s">
        <v>69</v>
      </c>
      <c r="BR28" t="s">
        <v>152</v>
      </c>
      <c r="BS28" t="s">
        <v>69</v>
      </c>
      <c r="BT28">
        <v>204.22800000000001</v>
      </c>
      <c r="BU28" t="s">
        <v>69</v>
      </c>
      <c r="BV28" t="s">
        <v>69</v>
      </c>
      <c r="BW28">
        <v>462</v>
      </c>
      <c r="BX28" t="s">
        <v>155</v>
      </c>
      <c r="BY28" t="s">
        <v>69</v>
      </c>
      <c r="BZ28" t="s">
        <v>150</v>
      </c>
      <c r="CA28" t="s">
        <v>69</v>
      </c>
      <c r="CB28">
        <v>105.093</v>
      </c>
      <c r="CC28" t="s">
        <v>69</v>
      </c>
      <c r="CD28" t="s">
        <v>69</v>
      </c>
      <c r="CE28">
        <v>464</v>
      </c>
      <c r="CF28" t="s">
        <v>249</v>
      </c>
      <c r="CG28" t="s">
        <v>69</v>
      </c>
      <c r="CH28" t="s">
        <v>117</v>
      </c>
      <c r="CI28" t="s">
        <v>69</v>
      </c>
      <c r="CJ28">
        <v>121.154</v>
      </c>
      <c r="CK28" t="s">
        <v>69</v>
      </c>
      <c r="CL28" t="s">
        <v>69</v>
      </c>
      <c r="CM28">
        <v>469</v>
      </c>
      <c r="CN28" t="s">
        <v>74</v>
      </c>
      <c r="CO28" t="s">
        <v>69</v>
      </c>
      <c r="CP28" t="s">
        <v>75</v>
      </c>
      <c r="CQ28" t="s">
        <v>69</v>
      </c>
      <c r="CR28">
        <v>174.203</v>
      </c>
      <c r="CS28" t="s">
        <v>69</v>
      </c>
      <c r="CT28" t="s">
        <v>69</v>
      </c>
      <c r="CU28">
        <v>470</v>
      </c>
      <c r="CV28" t="s">
        <v>146</v>
      </c>
      <c r="CW28" t="s">
        <v>69</v>
      </c>
      <c r="CX28" t="s">
        <v>71</v>
      </c>
      <c r="CY28" t="s">
        <v>69</v>
      </c>
      <c r="CZ28">
        <v>115.13200000000001</v>
      </c>
      <c r="DA28" t="s">
        <v>69</v>
      </c>
      <c r="DB28" t="s">
        <v>69</v>
      </c>
      <c r="DC28">
        <v>471</v>
      </c>
      <c r="DD28" t="s">
        <v>70</v>
      </c>
      <c r="DE28" t="s">
        <v>69</v>
      </c>
      <c r="DF28" t="s">
        <v>71</v>
      </c>
      <c r="DG28" t="s">
        <v>69</v>
      </c>
      <c r="DH28">
        <v>75.066999999999993</v>
      </c>
      <c r="DI28" t="s">
        <v>69</v>
      </c>
      <c r="DJ28" t="s">
        <v>69</v>
      </c>
    </row>
    <row r="29" spans="1:114" x14ac:dyDescent="0.25">
      <c r="A29">
        <v>7</v>
      </c>
      <c r="B29" t="str">
        <f>HYPERLINK("http://www.ncbi.nlm.nih.gov/protein/XP_006033649.1","XP_006033649.1")</f>
        <v>XP_006033649.1</v>
      </c>
      <c r="C29">
        <v>43404</v>
      </c>
      <c r="D29" t="str">
        <f>HYPERLINK("http://www.ncbi.nlm.nih.gov/Taxonomy/Browser/wwwtax.cgi?mode=Info&amp;id=38654&amp;lvl=3&amp;lin=f&amp;keep=1&amp;srchmode=1&amp;unlock","38654")</f>
        <v>38654</v>
      </c>
      <c r="E29" t="s">
        <v>109</v>
      </c>
      <c r="F29" t="str">
        <f>HYPERLINK("http://www.ncbi.nlm.nih.gov/Taxonomy/Browser/wwwtax.cgi?mode=Info&amp;id=38654&amp;lvl=3&amp;lin=f&amp;keep=1&amp;srchmode=1&amp;unlock","Alligator sinensis")</f>
        <v>Alligator sinensis</v>
      </c>
      <c r="G29" t="s">
        <v>110</v>
      </c>
      <c r="H29" t="str">
        <f>HYPERLINK("http://www.ncbi.nlm.nih.gov/protein/XP_006033649.1","transmembrane protease serine 2 isoform X2")</f>
        <v>transmembrane protease serine 2 isoform X2</v>
      </c>
      <c r="I29" t="s">
        <v>269</v>
      </c>
      <c r="J29" t="s">
        <v>153</v>
      </c>
      <c r="K29">
        <v>277</v>
      </c>
      <c r="L29" t="s">
        <v>115</v>
      </c>
      <c r="M29" t="s">
        <v>69</v>
      </c>
      <c r="N29" t="s">
        <v>71</v>
      </c>
      <c r="O29" t="s">
        <v>69</v>
      </c>
      <c r="P29">
        <v>117.148</v>
      </c>
      <c r="Q29" t="s">
        <v>69</v>
      </c>
      <c r="R29" t="s">
        <v>69</v>
      </c>
      <c r="S29">
        <v>297</v>
      </c>
      <c r="T29" t="s">
        <v>70</v>
      </c>
      <c r="U29" t="s">
        <v>153</v>
      </c>
      <c r="V29" t="s">
        <v>71</v>
      </c>
      <c r="W29" t="s">
        <v>153</v>
      </c>
      <c r="X29">
        <v>75.066999999999993</v>
      </c>
      <c r="Y29" t="s">
        <v>153</v>
      </c>
      <c r="Z29" t="s">
        <v>153</v>
      </c>
      <c r="AA29">
        <v>416</v>
      </c>
      <c r="AB29" t="s">
        <v>72</v>
      </c>
      <c r="AC29" t="s">
        <v>69</v>
      </c>
      <c r="AD29" t="s">
        <v>71</v>
      </c>
      <c r="AE29" t="s">
        <v>69</v>
      </c>
      <c r="AF29">
        <v>131.17500000000001</v>
      </c>
      <c r="AG29" t="s">
        <v>69</v>
      </c>
      <c r="AH29" t="s">
        <v>69</v>
      </c>
      <c r="AI29">
        <v>432</v>
      </c>
      <c r="AJ29" t="s">
        <v>156</v>
      </c>
      <c r="AK29" t="s">
        <v>69</v>
      </c>
      <c r="AL29" t="s">
        <v>120</v>
      </c>
      <c r="AM29" t="s">
        <v>69</v>
      </c>
      <c r="AN29">
        <v>133.10400000000001</v>
      </c>
      <c r="AO29" t="s">
        <v>69</v>
      </c>
      <c r="AP29" t="s">
        <v>69</v>
      </c>
      <c r="AQ29">
        <v>434</v>
      </c>
      <c r="AR29" t="s">
        <v>249</v>
      </c>
      <c r="AS29" t="s">
        <v>69</v>
      </c>
      <c r="AT29" t="s">
        <v>117</v>
      </c>
      <c r="AU29" t="s">
        <v>69</v>
      </c>
      <c r="AV29">
        <v>121.154</v>
      </c>
      <c r="AW29" t="s">
        <v>69</v>
      </c>
      <c r="AX29" t="s">
        <v>69</v>
      </c>
      <c r="AY29">
        <v>437</v>
      </c>
      <c r="AZ29" t="s">
        <v>156</v>
      </c>
      <c r="BA29" t="s">
        <v>69</v>
      </c>
      <c r="BB29" t="s">
        <v>120</v>
      </c>
      <c r="BC29" t="s">
        <v>69</v>
      </c>
      <c r="BD29">
        <v>133.10400000000001</v>
      </c>
      <c r="BE29" t="s">
        <v>69</v>
      </c>
      <c r="BF29" t="s">
        <v>69</v>
      </c>
      <c r="BG29">
        <v>456</v>
      </c>
      <c r="BH29" t="s">
        <v>149</v>
      </c>
      <c r="BI29" t="s">
        <v>69</v>
      </c>
      <c r="BJ29" t="s">
        <v>150</v>
      </c>
      <c r="BK29" t="s">
        <v>69</v>
      </c>
      <c r="BL29">
        <v>119.119</v>
      </c>
      <c r="BM29" t="s">
        <v>69</v>
      </c>
      <c r="BN29" t="s">
        <v>69</v>
      </c>
      <c r="BO29">
        <v>458</v>
      </c>
      <c r="BP29" t="s">
        <v>250</v>
      </c>
      <c r="BQ29" t="s">
        <v>69</v>
      </c>
      <c r="BR29" t="s">
        <v>152</v>
      </c>
      <c r="BS29" t="s">
        <v>69</v>
      </c>
      <c r="BT29">
        <v>204.22800000000001</v>
      </c>
      <c r="BU29" t="s">
        <v>69</v>
      </c>
      <c r="BV29" t="s">
        <v>69</v>
      </c>
      <c r="BW29">
        <v>460</v>
      </c>
      <c r="BX29" t="s">
        <v>149</v>
      </c>
      <c r="BY29" t="s">
        <v>153</v>
      </c>
      <c r="BZ29" t="s">
        <v>150</v>
      </c>
      <c r="CA29" t="s">
        <v>69</v>
      </c>
      <c r="CB29">
        <v>119.119</v>
      </c>
      <c r="CC29" t="s">
        <v>69</v>
      </c>
      <c r="CD29" t="s">
        <v>69</v>
      </c>
      <c r="CE29">
        <v>462</v>
      </c>
      <c r="CF29" t="s">
        <v>249</v>
      </c>
      <c r="CG29" t="s">
        <v>69</v>
      </c>
      <c r="CH29" t="s">
        <v>117</v>
      </c>
      <c r="CI29" t="s">
        <v>69</v>
      </c>
      <c r="CJ29">
        <v>121.154</v>
      </c>
      <c r="CK29" t="s">
        <v>69</v>
      </c>
      <c r="CL29" t="s">
        <v>69</v>
      </c>
      <c r="CM29">
        <v>467</v>
      </c>
      <c r="CN29" t="s">
        <v>74</v>
      </c>
      <c r="CO29" t="s">
        <v>69</v>
      </c>
      <c r="CP29" t="s">
        <v>75</v>
      </c>
      <c r="CQ29" t="s">
        <v>69</v>
      </c>
      <c r="CR29">
        <v>174.203</v>
      </c>
      <c r="CS29" t="s">
        <v>69</v>
      </c>
      <c r="CT29" t="s">
        <v>69</v>
      </c>
      <c r="CU29">
        <v>468</v>
      </c>
      <c r="CV29" t="s">
        <v>146</v>
      </c>
      <c r="CW29" t="s">
        <v>69</v>
      </c>
      <c r="CX29" t="s">
        <v>71</v>
      </c>
      <c r="CY29" t="s">
        <v>69</v>
      </c>
      <c r="CZ29">
        <v>115.13200000000001</v>
      </c>
      <c r="DA29" t="s">
        <v>69</v>
      </c>
      <c r="DB29" t="s">
        <v>69</v>
      </c>
      <c r="DC29">
        <v>469</v>
      </c>
      <c r="DD29" t="s">
        <v>70</v>
      </c>
      <c r="DE29" t="s">
        <v>69</v>
      </c>
      <c r="DF29" t="s">
        <v>71</v>
      </c>
      <c r="DG29" t="s">
        <v>69</v>
      </c>
      <c r="DH29">
        <v>75.066999999999993</v>
      </c>
      <c r="DI29" t="s">
        <v>69</v>
      </c>
      <c r="DJ29" t="s">
        <v>69</v>
      </c>
    </row>
    <row r="30" spans="1:114" x14ac:dyDescent="0.25">
      <c r="A30">
        <v>7</v>
      </c>
      <c r="B30" t="str">
        <f>HYPERLINK("http://www.ncbi.nlm.nih.gov/protein/XP_021138261.1","XP_021138261.1")</f>
        <v>XP_021138261.1</v>
      </c>
      <c r="C30">
        <v>50957</v>
      </c>
      <c r="D30" t="str">
        <f>HYPERLINK("http://www.ncbi.nlm.nih.gov/Taxonomy/Browser/wwwtax.cgi?mode=Info&amp;id=8932&amp;lvl=3&amp;lin=f&amp;keep=1&amp;srchmode=1&amp;unlock","8932")</f>
        <v>8932</v>
      </c>
      <c r="E30" t="s">
        <v>107</v>
      </c>
      <c r="F30" t="str">
        <f>HYPERLINK("http://www.ncbi.nlm.nih.gov/Taxonomy/Browser/wwwtax.cgi?mode=Info&amp;id=8932&amp;lvl=3&amp;lin=f&amp;keep=1&amp;srchmode=1&amp;unlock","Columba livia")</f>
        <v>Columba livia</v>
      </c>
      <c r="G30" t="s">
        <v>108</v>
      </c>
      <c r="H30" t="str">
        <f>HYPERLINK("http://www.ncbi.nlm.nih.gov/protein/XP_021138261.1","transmembrane protease serine 2")</f>
        <v>transmembrane protease serine 2</v>
      </c>
      <c r="I30" t="s">
        <v>269</v>
      </c>
      <c r="J30" t="s">
        <v>153</v>
      </c>
      <c r="K30">
        <v>272</v>
      </c>
      <c r="L30" t="s">
        <v>115</v>
      </c>
      <c r="M30" t="s">
        <v>69</v>
      </c>
      <c r="N30" t="s">
        <v>71</v>
      </c>
      <c r="O30" t="s">
        <v>69</v>
      </c>
      <c r="P30">
        <v>117.148</v>
      </c>
      <c r="Q30" t="s">
        <v>69</v>
      </c>
      <c r="R30" t="s">
        <v>69</v>
      </c>
      <c r="S30">
        <v>292</v>
      </c>
      <c r="T30" t="s">
        <v>70</v>
      </c>
      <c r="U30" t="s">
        <v>153</v>
      </c>
      <c r="V30" t="s">
        <v>71</v>
      </c>
      <c r="W30" t="s">
        <v>153</v>
      </c>
      <c r="X30">
        <v>75.066999999999993</v>
      </c>
      <c r="Y30" t="s">
        <v>153</v>
      </c>
      <c r="Z30" t="s">
        <v>153</v>
      </c>
      <c r="AA30">
        <v>411</v>
      </c>
      <c r="AB30" t="s">
        <v>116</v>
      </c>
      <c r="AC30" t="s">
        <v>153</v>
      </c>
      <c r="AD30" t="s">
        <v>117</v>
      </c>
      <c r="AE30" t="s">
        <v>153</v>
      </c>
      <c r="AF30">
        <v>149.208</v>
      </c>
      <c r="AG30" t="s">
        <v>69</v>
      </c>
      <c r="AH30" t="s">
        <v>69</v>
      </c>
      <c r="AI30">
        <v>427</v>
      </c>
      <c r="AJ30" t="s">
        <v>156</v>
      </c>
      <c r="AK30" t="s">
        <v>69</v>
      </c>
      <c r="AL30" t="s">
        <v>120</v>
      </c>
      <c r="AM30" t="s">
        <v>69</v>
      </c>
      <c r="AN30">
        <v>133.10400000000001</v>
      </c>
      <c r="AO30" t="s">
        <v>69</v>
      </c>
      <c r="AP30" t="s">
        <v>69</v>
      </c>
      <c r="AQ30">
        <v>429</v>
      </c>
      <c r="AR30" t="s">
        <v>249</v>
      </c>
      <c r="AS30" t="s">
        <v>69</v>
      </c>
      <c r="AT30" t="s">
        <v>117</v>
      </c>
      <c r="AU30" t="s">
        <v>69</v>
      </c>
      <c r="AV30">
        <v>121.154</v>
      </c>
      <c r="AW30" t="s">
        <v>69</v>
      </c>
      <c r="AX30" t="s">
        <v>69</v>
      </c>
      <c r="AY30">
        <v>432</v>
      </c>
      <c r="AZ30" t="s">
        <v>156</v>
      </c>
      <c r="BA30" t="s">
        <v>69</v>
      </c>
      <c r="BB30" t="s">
        <v>120</v>
      </c>
      <c r="BC30" t="s">
        <v>69</v>
      </c>
      <c r="BD30">
        <v>133.10400000000001</v>
      </c>
      <c r="BE30" t="s">
        <v>69</v>
      </c>
      <c r="BF30" t="s">
        <v>69</v>
      </c>
      <c r="BG30">
        <v>451</v>
      </c>
      <c r="BH30" t="s">
        <v>149</v>
      </c>
      <c r="BI30" t="s">
        <v>69</v>
      </c>
      <c r="BJ30" t="s">
        <v>150</v>
      </c>
      <c r="BK30" t="s">
        <v>69</v>
      </c>
      <c r="BL30">
        <v>119.119</v>
      </c>
      <c r="BM30" t="s">
        <v>69</v>
      </c>
      <c r="BN30" t="s">
        <v>69</v>
      </c>
      <c r="BO30">
        <v>453</v>
      </c>
      <c r="BP30" t="s">
        <v>250</v>
      </c>
      <c r="BQ30" t="s">
        <v>69</v>
      </c>
      <c r="BR30" t="s">
        <v>152</v>
      </c>
      <c r="BS30" t="s">
        <v>69</v>
      </c>
      <c r="BT30">
        <v>204.22800000000001</v>
      </c>
      <c r="BU30" t="s">
        <v>69</v>
      </c>
      <c r="BV30" t="s">
        <v>69</v>
      </c>
      <c r="BW30">
        <v>455</v>
      </c>
      <c r="BX30" t="s">
        <v>149</v>
      </c>
      <c r="BY30" t="s">
        <v>153</v>
      </c>
      <c r="BZ30" t="s">
        <v>150</v>
      </c>
      <c r="CA30" t="s">
        <v>69</v>
      </c>
      <c r="CB30">
        <v>119.119</v>
      </c>
      <c r="CC30" t="s">
        <v>69</v>
      </c>
      <c r="CD30" t="s">
        <v>69</v>
      </c>
      <c r="CE30">
        <v>457</v>
      </c>
      <c r="CF30" t="s">
        <v>249</v>
      </c>
      <c r="CG30" t="s">
        <v>69</v>
      </c>
      <c r="CH30" t="s">
        <v>117</v>
      </c>
      <c r="CI30" t="s">
        <v>69</v>
      </c>
      <c r="CJ30">
        <v>121.154</v>
      </c>
      <c r="CK30" t="s">
        <v>69</v>
      </c>
      <c r="CL30" t="s">
        <v>69</v>
      </c>
      <c r="CM30">
        <v>462</v>
      </c>
      <c r="CN30" t="s">
        <v>74</v>
      </c>
      <c r="CO30" t="s">
        <v>69</v>
      </c>
      <c r="CP30" t="s">
        <v>75</v>
      </c>
      <c r="CQ30" t="s">
        <v>69</v>
      </c>
      <c r="CR30">
        <v>174.203</v>
      </c>
      <c r="CS30" t="s">
        <v>69</v>
      </c>
      <c r="CT30" t="s">
        <v>69</v>
      </c>
      <c r="CU30">
        <v>463</v>
      </c>
      <c r="CV30" t="s">
        <v>146</v>
      </c>
      <c r="CW30" t="s">
        <v>69</v>
      </c>
      <c r="CX30" t="s">
        <v>71</v>
      </c>
      <c r="CY30" t="s">
        <v>69</v>
      </c>
      <c r="CZ30">
        <v>115.13200000000001</v>
      </c>
      <c r="DA30" t="s">
        <v>69</v>
      </c>
      <c r="DB30" t="s">
        <v>69</v>
      </c>
      <c r="DC30">
        <v>464</v>
      </c>
      <c r="DD30" t="s">
        <v>70</v>
      </c>
      <c r="DE30" t="s">
        <v>69</v>
      </c>
      <c r="DF30" t="s">
        <v>71</v>
      </c>
      <c r="DG30" t="s">
        <v>69</v>
      </c>
      <c r="DH30">
        <v>75.066999999999993</v>
      </c>
      <c r="DI30" t="s">
        <v>69</v>
      </c>
      <c r="DJ30" t="s">
        <v>69</v>
      </c>
    </row>
    <row r="31" spans="1:114" x14ac:dyDescent="0.25">
      <c r="A31">
        <v>7</v>
      </c>
      <c r="B31" t="str">
        <f>HYPERLINK("http://www.ncbi.nlm.nih.gov/protein/XP_018104413.1","XP_018104413.1")</f>
        <v>XP_018104413.1</v>
      </c>
      <c r="C31">
        <v>146185</v>
      </c>
      <c r="D31" t="str">
        <f>HYPERLINK("http://www.ncbi.nlm.nih.gov/Taxonomy/Browser/wwwtax.cgi?mode=Info&amp;id=8355&amp;lvl=3&amp;lin=f&amp;keep=1&amp;srchmode=1&amp;unlock","8355")</f>
        <v>8355</v>
      </c>
      <c r="E31" t="s">
        <v>111</v>
      </c>
      <c r="F31" t="str">
        <f>HYPERLINK("http://www.ncbi.nlm.nih.gov/Taxonomy/Browser/wwwtax.cgi?mode=Info&amp;id=8355&amp;lvl=3&amp;lin=f&amp;keep=1&amp;srchmode=1&amp;unlock","Xenopus laevis")</f>
        <v>Xenopus laevis</v>
      </c>
      <c r="G31" t="s">
        <v>112</v>
      </c>
      <c r="H31" t="str">
        <f>HYPERLINK("http://www.ncbi.nlm.nih.gov/protein/XP_018104413.1","transmembrane protease serine 2")</f>
        <v>transmembrane protease serine 2</v>
      </c>
      <c r="I31" t="s">
        <v>269</v>
      </c>
      <c r="J31" t="s">
        <v>153</v>
      </c>
      <c r="K31">
        <v>273</v>
      </c>
      <c r="L31" t="s">
        <v>115</v>
      </c>
      <c r="M31" t="s">
        <v>69</v>
      </c>
      <c r="N31" t="s">
        <v>71</v>
      </c>
      <c r="O31" t="s">
        <v>69</v>
      </c>
      <c r="P31">
        <v>117.148</v>
      </c>
      <c r="Q31" t="s">
        <v>69</v>
      </c>
      <c r="R31" t="s">
        <v>69</v>
      </c>
      <c r="S31">
        <v>293</v>
      </c>
      <c r="T31" t="s">
        <v>70</v>
      </c>
      <c r="U31" t="s">
        <v>153</v>
      </c>
      <c r="V31" t="s">
        <v>71</v>
      </c>
      <c r="W31" t="s">
        <v>153</v>
      </c>
      <c r="X31">
        <v>75.066999999999993</v>
      </c>
      <c r="Y31" t="s">
        <v>153</v>
      </c>
      <c r="Z31" t="s">
        <v>153</v>
      </c>
      <c r="AA31">
        <v>410</v>
      </c>
      <c r="AB31" t="s">
        <v>73</v>
      </c>
      <c r="AC31" t="s">
        <v>153</v>
      </c>
      <c r="AD31" t="s">
        <v>71</v>
      </c>
      <c r="AE31" t="s">
        <v>69</v>
      </c>
      <c r="AF31">
        <v>89.093999999999994</v>
      </c>
      <c r="AG31" t="s">
        <v>153</v>
      </c>
      <c r="AH31" t="s">
        <v>69</v>
      </c>
      <c r="AI31">
        <v>426</v>
      </c>
      <c r="AJ31" t="s">
        <v>156</v>
      </c>
      <c r="AK31" t="s">
        <v>69</v>
      </c>
      <c r="AL31" t="s">
        <v>120</v>
      </c>
      <c r="AM31" t="s">
        <v>69</v>
      </c>
      <c r="AN31">
        <v>133.10400000000001</v>
      </c>
      <c r="AO31" t="s">
        <v>69</v>
      </c>
      <c r="AP31" t="s">
        <v>69</v>
      </c>
      <c r="AQ31">
        <v>428</v>
      </c>
      <c r="AR31" t="s">
        <v>249</v>
      </c>
      <c r="AS31" t="s">
        <v>69</v>
      </c>
      <c r="AT31" t="s">
        <v>117</v>
      </c>
      <c r="AU31" t="s">
        <v>69</v>
      </c>
      <c r="AV31">
        <v>121.154</v>
      </c>
      <c r="AW31" t="s">
        <v>69</v>
      </c>
      <c r="AX31" t="s">
        <v>69</v>
      </c>
      <c r="AY31">
        <v>431</v>
      </c>
      <c r="AZ31" t="s">
        <v>156</v>
      </c>
      <c r="BA31" t="s">
        <v>69</v>
      </c>
      <c r="BB31" t="s">
        <v>120</v>
      </c>
      <c r="BC31" t="s">
        <v>69</v>
      </c>
      <c r="BD31">
        <v>133.10400000000001</v>
      </c>
      <c r="BE31" t="s">
        <v>69</v>
      </c>
      <c r="BF31" t="s">
        <v>69</v>
      </c>
      <c r="BG31">
        <v>450</v>
      </c>
      <c r="BH31" t="s">
        <v>149</v>
      </c>
      <c r="BI31" t="s">
        <v>69</v>
      </c>
      <c r="BJ31" t="s">
        <v>150</v>
      </c>
      <c r="BK31" t="s">
        <v>69</v>
      </c>
      <c r="BL31">
        <v>119.119</v>
      </c>
      <c r="BM31" t="s">
        <v>69</v>
      </c>
      <c r="BN31" t="s">
        <v>69</v>
      </c>
      <c r="BO31">
        <v>452</v>
      </c>
      <c r="BP31" t="s">
        <v>250</v>
      </c>
      <c r="BQ31" t="s">
        <v>69</v>
      </c>
      <c r="BR31" t="s">
        <v>152</v>
      </c>
      <c r="BS31" t="s">
        <v>69</v>
      </c>
      <c r="BT31">
        <v>204.22800000000001</v>
      </c>
      <c r="BU31" t="s">
        <v>69</v>
      </c>
      <c r="BV31" t="s">
        <v>69</v>
      </c>
      <c r="BW31">
        <v>454</v>
      </c>
      <c r="BX31" t="s">
        <v>149</v>
      </c>
      <c r="BY31" t="s">
        <v>153</v>
      </c>
      <c r="BZ31" t="s">
        <v>150</v>
      </c>
      <c r="CA31" t="s">
        <v>69</v>
      </c>
      <c r="CB31">
        <v>119.119</v>
      </c>
      <c r="CC31" t="s">
        <v>69</v>
      </c>
      <c r="CD31" t="s">
        <v>69</v>
      </c>
      <c r="CE31">
        <v>456</v>
      </c>
      <c r="CF31" t="s">
        <v>249</v>
      </c>
      <c r="CG31" t="s">
        <v>69</v>
      </c>
      <c r="CH31" t="s">
        <v>117</v>
      </c>
      <c r="CI31" t="s">
        <v>69</v>
      </c>
      <c r="CJ31">
        <v>121.154</v>
      </c>
      <c r="CK31" t="s">
        <v>69</v>
      </c>
      <c r="CL31" t="s">
        <v>69</v>
      </c>
      <c r="CM31">
        <v>461</v>
      </c>
      <c r="CN31" t="s">
        <v>76</v>
      </c>
      <c r="CO31" t="s">
        <v>153</v>
      </c>
      <c r="CP31" t="s">
        <v>75</v>
      </c>
      <c r="CQ31" t="s">
        <v>69</v>
      </c>
      <c r="CR31">
        <v>146.18899999999999</v>
      </c>
      <c r="CS31" t="s">
        <v>69</v>
      </c>
      <c r="CT31" t="s">
        <v>69</v>
      </c>
      <c r="CU31">
        <v>462</v>
      </c>
      <c r="CV31" t="s">
        <v>146</v>
      </c>
      <c r="CW31" t="s">
        <v>69</v>
      </c>
      <c r="CX31" t="s">
        <v>71</v>
      </c>
      <c r="CY31" t="s">
        <v>69</v>
      </c>
      <c r="CZ31">
        <v>115.13200000000001</v>
      </c>
      <c r="DA31" t="s">
        <v>69</v>
      </c>
      <c r="DB31" t="s">
        <v>69</v>
      </c>
      <c r="DC31">
        <v>463</v>
      </c>
      <c r="DD31" t="s">
        <v>70</v>
      </c>
      <c r="DE31" t="s">
        <v>69</v>
      </c>
      <c r="DF31" t="s">
        <v>71</v>
      </c>
      <c r="DG31" t="s">
        <v>69</v>
      </c>
      <c r="DH31">
        <v>75.066999999999993</v>
      </c>
      <c r="DI31" t="s">
        <v>69</v>
      </c>
      <c r="DJ31" t="s">
        <v>69</v>
      </c>
    </row>
    <row r="32" spans="1:114" x14ac:dyDescent="0.25">
      <c r="A32">
        <v>7</v>
      </c>
      <c r="B32" t="str">
        <f>HYPERLINK("http://www.ncbi.nlm.nih.gov/protein/KAG1970217.1","KAG1970217.1")</f>
        <v>KAG1970217.1</v>
      </c>
      <c r="C32">
        <v>96114</v>
      </c>
      <c r="D32" t="str">
        <f>HYPERLINK("http://www.ncbi.nlm.nih.gov/Taxonomy/Browser/wwwtax.cgi?mode=Info&amp;id=90988&amp;lvl=3&amp;lin=f&amp;keep=1&amp;srchmode=1&amp;unlock","90988")</f>
        <v>90988</v>
      </c>
      <c r="E32" t="s">
        <v>113</v>
      </c>
      <c r="F32" t="str">
        <f>HYPERLINK("http://www.ncbi.nlm.nih.gov/Taxonomy/Browser/wwwtax.cgi?mode=Info&amp;id=90988&amp;lvl=3&amp;lin=f&amp;keep=1&amp;srchmode=1&amp;unlock","Pimephales promelas")</f>
        <v>Pimephales promelas</v>
      </c>
      <c r="G32" t="s">
        <v>114</v>
      </c>
      <c r="H32" t="str">
        <f>HYPERLINK("http://www.ncbi.nlm.nih.gov/protein/KAG1970217.1","transmembrane protease serine")</f>
        <v>transmembrane protease serine</v>
      </c>
      <c r="I32" t="s">
        <v>269</v>
      </c>
      <c r="J32" t="s">
        <v>69</v>
      </c>
      <c r="K32">
        <v>284</v>
      </c>
      <c r="L32" t="s">
        <v>72</v>
      </c>
      <c r="M32" t="s">
        <v>153</v>
      </c>
      <c r="N32" t="s">
        <v>71</v>
      </c>
      <c r="O32" t="s">
        <v>69</v>
      </c>
      <c r="P32">
        <v>131.17500000000001</v>
      </c>
      <c r="Q32" t="s">
        <v>69</v>
      </c>
      <c r="R32" t="s">
        <v>69</v>
      </c>
      <c r="S32">
        <v>304</v>
      </c>
      <c r="T32" t="s">
        <v>119</v>
      </c>
      <c r="U32" t="s">
        <v>153</v>
      </c>
      <c r="V32" t="s">
        <v>120</v>
      </c>
      <c r="W32" t="s">
        <v>153</v>
      </c>
      <c r="X32">
        <v>147.131</v>
      </c>
      <c r="Y32" t="s">
        <v>69</v>
      </c>
      <c r="Z32" t="s">
        <v>69</v>
      </c>
      <c r="AA32">
        <v>422</v>
      </c>
      <c r="AB32" t="s">
        <v>147</v>
      </c>
      <c r="AC32" t="s">
        <v>153</v>
      </c>
      <c r="AD32" t="s">
        <v>148</v>
      </c>
      <c r="AE32" t="s">
        <v>153</v>
      </c>
      <c r="AF32">
        <v>146.14599999999999</v>
      </c>
      <c r="AG32" t="s">
        <v>69</v>
      </c>
      <c r="AH32" t="s">
        <v>69</v>
      </c>
      <c r="AI32">
        <v>438</v>
      </c>
      <c r="AJ32" t="s">
        <v>156</v>
      </c>
      <c r="AK32" t="s">
        <v>69</v>
      </c>
      <c r="AL32" t="s">
        <v>120</v>
      </c>
      <c r="AM32" t="s">
        <v>69</v>
      </c>
      <c r="AN32">
        <v>133.10400000000001</v>
      </c>
      <c r="AO32" t="s">
        <v>69</v>
      </c>
      <c r="AP32" t="s">
        <v>69</v>
      </c>
      <c r="AQ32">
        <v>440</v>
      </c>
      <c r="AR32" t="s">
        <v>249</v>
      </c>
      <c r="AS32" t="s">
        <v>69</v>
      </c>
      <c r="AT32" t="s">
        <v>117</v>
      </c>
      <c r="AU32" t="s">
        <v>69</v>
      </c>
      <c r="AV32">
        <v>121.154</v>
      </c>
      <c r="AW32" t="s">
        <v>69</v>
      </c>
      <c r="AX32" t="s">
        <v>69</v>
      </c>
      <c r="AY32">
        <v>443</v>
      </c>
      <c r="AZ32" t="s">
        <v>156</v>
      </c>
      <c r="BA32" t="s">
        <v>69</v>
      </c>
      <c r="BB32" t="s">
        <v>120</v>
      </c>
      <c r="BC32" t="s">
        <v>69</v>
      </c>
      <c r="BD32">
        <v>133.10400000000001</v>
      </c>
      <c r="BE32" t="s">
        <v>69</v>
      </c>
      <c r="BF32" t="s">
        <v>69</v>
      </c>
      <c r="BG32">
        <v>462</v>
      </c>
      <c r="BH32" t="s">
        <v>149</v>
      </c>
      <c r="BI32" t="s">
        <v>69</v>
      </c>
      <c r="BJ32" t="s">
        <v>150</v>
      </c>
      <c r="BK32" t="s">
        <v>69</v>
      </c>
      <c r="BL32">
        <v>119.119</v>
      </c>
      <c r="BM32" t="s">
        <v>69</v>
      </c>
      <c r="BN32" t="s">
        <v>69</v>
      </c>
      <c r="BO32">
        <v>464</v>
      </c>
      <c r="BP32" t="s">
        <v>250</v>
      </c>
      <c r="BQ32" t="s">
        <v>69</v>
      </c>
      <c r="BR32" t="s">
        <v>152</v>
      </c>
      <c r="BS32" t="s">
        <v>69</v>
      </c>
      <c r="BT32">
        <v>204.22800000000001</v>
      </c>
      <c r="BU32" t="s">
        <v>69</v>
      </c>
      <c r="BV32" t="s">
        <v>69</v>
      </c>
      <c r="BW32">
        <v>466</v>
      </c>
      <c r="BX32" t="s">
        <v>156</v>
      </c>
      <c r="BY32" t="s">
        <v>153</v>
      </c>
      <c r="BZ32" t="s">
        <v>120</v>
      </c>
      <c r="CA32" t="s">
        <v>153</v>
      </c>
      <c r="CB32">
        <v>133.10400000000001</v>
      </c>
      <c r="CC32" t="s">
        <v>69</v>
      </c>
      <c r="CD32" t="s">
        <v>69</v>
      </c>
      <c r="CE32">
        <v>468</v>
      </c>
      <c r="CF32" t="s">
        <v>249</v>
      </c>
      <c r="CG32" t="s">
        <v>69</v>
      </c>
      <c r="CH32" t="s">
        <v>117</v>
      </c>
      <c r="CI32" t="s">
        <v>69</v>
      </c>
      <c r="CJ32">
        <v>121.154</v>
      </c>
      <c r="CK32" t="s">
        <v>69</v>
      </c>
      <c r="CL32" t="s">
        <v>69</v>
      </c>
      <c r="CM32">
        <v>473</v>
      </c>
      <c r="CN32" t="s">
        <v>76</v>
      </c>
      <c r="CO32" t="s">
        <v>153</v>
      </c>
      <c r="CP32" t="s">
        <v>75</v>
      </c>
      <c r="CQ32" t="s">
        <v>69</v>
      </c>
      <c r="CR32">
        <v>146.18899999999999</v>
      </c>
      <c r="CS32" t="s">
        <v>69</v>
      </c>
      <c r="CT32" t="s">
        <v>69</v>
      </c>
      <c r="CU32">
        <v>474</v>
      </c>
      <c r="CV32" t="s">
        <v>146</v>
      </c>
      <c r="CW32" t="s">
        <v>69</v>
      </c>
      <c r="CX32" t="s">
        <v>71</v>
      </c>
      <c r="CY32" t="s">
        <v>69</v>
      </c>
      <c r="CZ32">
        <v>115.13200000000001</v>
      </c>
      <c r="DA32" t="s">
        <v>69</v>
      </c>
      <c r="DB32" t="s">
        <v>69</v>
      </c>
      <c r="DC32">
        <v>475</v>
      </c>
      <c r="DD32" t="s">
        <v>70</v>
      </c>
      <c r="DE32" t="s">
        <v>69</v>
      </c>
      <c r="DF32" t="s">
        <v>71</v>
      </c>
      <c r="DG32" t="s">
        <v>69</v>
      </c>
      <c r="DH32">
        <v>75.066999999999993</v>
      </c>
      <c r="DI32" t="s">
        <v>69</v>
      </c>
      <c r="DJ32" t="s">
        <v>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6"/>
  <sheetViews>
    <sheetView topLeftCell="A3" workbookViewId="0">
      <selection activeCell="A3" sqref="A3"/>
    </sheetView>
  </sheetViews>
  <sheetFormatPr defaultRowHeight="15" x14ac:dyDescent="0.25"/>
  <sheetData>
    <row r="1" spans="1:42"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row>
    <row r="2" spans="1:42" x14ac:dyDescent="0.25">
      <c r="A2">
        <v>7</v>
      </c>
      <c r="B2" t="str">
        <f>HYPERLINK("http://www.ncbi.nlm.nih.gov/protein/NP_000996.2","NP_000996.2")</f>
        <v>NP_000996.2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HYPERLINK("http://www.ncbi.nlm.nih.gov/protein/NP_000996.2","40S ribosomal protein S3 isoform 1")</f>
        <v>40S ribosomal protein S3 isoform 1</v>
      </c>
      <c r="I2" t="s">
        <v>68</v>
      </c>
      <c r="J2" t="s">
        <v>69</v>
      </c>
      <c r="K2">
        <v>115</v>
      </c>
      <c r="L2" t="s">
        <v>115</v>
      </c>
      <c r="M2" t="s">
        <v>69</v>
      </c>
      <c r="N2" t="s">
        <v>71</v>
      </c>
      <c r="O2" t="s">
        <v>69</v>
      </c>
      <c r="P2">
        <v>117.148</v>
      </c>
      <c r="Q2" t="s">
        <v>69</v>
      </c>
      <c r="R2" t="s">
        <v>69</v>
      </c>
      <c r="S2">
        <v>142</v>
      </c>
      <c r="T2" t="s">
        <v>72</v>
      </c>
      <c r="U2" t="s">
        <v>69</v>
      </c>
      <c r="V2" t="s">
        <v>71</v>
      </c>
      <c r="W2" t="s">
        <v>69</v>
      </c>
      <c r="X2">
        <v>131.17500000000001</v>
      </c>
      <c r="Y2" t="s">
        <v>69</v>
      </c>
      <c r="Z2" t="s">
        <v>69</v>
      </c>
      <c r="AA2">
        <v>150</v>
      </c>
      <c r="AB2" t="s">
        <v>116</v>
      </c>
      <c r="AC2" t="s">
        <v>69</v>
      </c>
      <c r="AD2" t="s">
        <v>117</v>
      </c>
      <c r="AE2" t="s">
        <v>69</v>
      </c>
      <c r="AF2">
        <v>149.208</v>
      </c>
      <c r="AG2" t="s">
        <v>69</v>
      </c>
      <c r="AH2" t="s">
        <v>69</v>
      </c>
      <c r="AI2">
        <v>177</v>
      </c>
      <c r="AJ2" t="s">
        <v>72</v>
      </c>
      <c r="AK2" t="s">
        <v>69</v>
      </c>
      <c r="AL2" t="s">
        <v>71</v>
      </c>
      <c r="AM2" t="s">
        <v>69</v>
      </c>
      <c r="AN2">
        <v>131.17500000000001</v>
      </c>
      <c r="AO2" t="s">
        <v>69</v>
      </c>
      <c r="AP2" t="s">
        <v>69</v>
      </c>
    </row>
    <row r="3" spans="1:42" x14ac:dyDescent="0.25">
      <c r="A3">
        <v>7</v>
      </c>
      <c r="B3" t="str">
        <f>HYPERLINK("http://www.ncbi.nlm.nih.gov/protein/NP_001253219.1","NP_001253219.1")</f>
        <v>NP_001253219.1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HYPERLINK("http://www.ncbi.nlm.nih.gov/protein/NP_001253219.1","40S ribosomal protein S3")</f>
        <v>40S ribosomal protein S3</v>
      </c>
      <c r="I3" t="s">
        <v>68</v>
      </c>
      <c r="J3" t="s">
        <v>69</v>
      </c>
      <c r="K3">
        <v>115</v>
      </c>
      <c r="L3" t="s">
        <v>115</v>
      </c>
      <c r="M3" t="s">
        <v>69</v>
      </c>
      <c r="N3" t="s">
        <v>71</v>
      </c>
      <c r="O3" t="s">
        <v>69</v>
      </c>
      <c r="P3">
        <v>117.148</v>
      </c>
      <c r="Q3" t="s">
        <v>69</v>
      </c>
      <c r="R3" t="s">
        <v>69</v>
      </c>
      <c r="S3">
        <v>142</v>
      </c>
      <c r="T3" t="s">
        <v>72</v>
      </c>
      <c r="U3" t="s">
        <v>69</v>
      </c>
      <c r="V3" t="s">
        <v>71</v>
      </c>
      <c r="W3" t="s">
        <v>69</v>
      </c>
      <c r="X3">
        <v>131.17500000000001</v>
      </c>
      <c r="Y3" t="s">
        <v>69</v>
      </c>
      <c r="Z3" t="s">
        <v>69</v>
      </c>
      <c r="AA3">
        <v>150</v>
      </c>
      <c r="AB3" t="s">
        <v>116</v>
      </c>
      <c r="AC3" t="s">
        <v>69</v>
      </c>
      <c r="AD3" t="s">
        <v>117</v>
      </c>
      <c r="AE3" t="s">
        <v>69</v>
      </c>
      <c r="AF3">
        <v>149.208</v>
      </c>
      <c r="AG3" t="s">
        <v>69</v>
      </c>
      <c r="AH3" t="s">
        <v>69</v>
      </c>
      <c r="AI3">
        <v>177</v>
      </c>
      <c r="AJ3" t="s">
        <v>72</v>
      </c>
      <c r="AK3" t="s">
        <v>69</v>
      </c>
      <c r="AL3" t="s">
        <v>71</v>
      </c>
      <c r="AM3" t="s">
        <v>69</v>
      </c>
      <c r="AN3">
        <v>131.17500000000001</v>
      </c>
      <c r="AO3" t="s">
        <v>69</v>
      </c>
      <c r="AP3" t="s">
        <v>69</v>
      </c>
    </row>
    <row r="4" spans="1:42" x14ac:dyDescent="0.25">
      <c r="A4">
        <v>7</v>
      </c>
      <c r="B4" t="str">
        <f>HYPERLINK("http://www.ncbi.nlm.nih.gov/protein/XP_008018361.1","XP_008018361.1")</f>
        <v>XP_008018361.1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HYPERLINK("http://www.ncbi.nlm.nih.gov/protein/XP_008018361.1","40S ribosomal protein S3")</f>
        <v>40S ribosomal protein S3</v>
      </c>
      <c r="I4" t="s">
        <v>68</v>
      </c>
      <c r="J4" t="s">
        <v>69</v>
      </c>
      <c r="K4">
        <v>115</v>
      </c>
      <c r="L4" t="s">
        <v>115</v>
      </c>
      <c r="M4" t="s">
        <v>69</v>
      </c>
      <c r="N4" t="s">
        <v>71</v>
      </c>
      <c r="O4" t="s">
        <v>69</v>
      </c>
      <c r="P4">
        <v>117.148</v>
      </c>
      <c r="Q4" t="s">
        <v>69</v>
      </c>
      <c r="R4" t="s">
        <v>69</v>
      </c>
      <c r="S4">
        <v>142</v>
      </c>
      <c r="T4" t="s">
        <v>72</v>
      </c>
      <c r="U4" t="s">
        <v>69</v>
      </c>
      <c r="V4" t="s">
        <v>71</v>
      </c>
      <c r="W4" t="s">
        <v>69</v>
      </c>
      <c r="X4">
        <v>131.17500000000001</v>
      </c>
      <c r="Y4" t="s">
        <v>69</v>
      </c>
      <c r="Z4" t="s">
        <v>69</v>
      </c>
      <c r="AA4">
        <v>150</v>
      </c>
      <c r="AB4" t="s">
        <v>116</v>
      </c>
      <c r="AC4" t="s">
        <v>69</v>
      </c>
      <c r="AD4" t="s">
        <v>117</v>
      </c>
      <c r="AE4" t="s">
        <v>69</v>
      </c>
      <c r="AF4">
        <v>149.208</v>
      </c>
      <c r="AG4" t="s">
        <v>69</v>
      </c>
      <c r="AH4" t="s">
        <v>69</v>
      </c>
      <c r="AI4">
        <v>177</v>
      </c>
      <c r="AJ4" t="s">
        <v>72</v>
      </c>
      <c r="AK4" t="s">
        <v>69</v>
      </c>
      <c r="AL4" t="s">
        <v>71</v>
      </c>
      <c r="AM4" t="s">
        <v>69</v>
      </c>
      <c r="AN4">
        <v>131.17500000000001</v>
      </c>
      <c r="AO4" t="s">
        <v>69</v>
      </c>
      <c r="AP4" t="s">
        <v>69</v>
      </c>
    </row>
    <row r="5" spans="1:42" x14ac:dyDescent="0.25">
      <c r="A5">
        <v>7</v>
      </c>
      <c r="B5" t="str">
        <f>HYPERLINK("http://www.ncbi.nlm.nih.gov/protein/XP_018891660.1","XP_018891660.1")</f>
        <v>XP_018891660.1</v>
      </c>
      <c r="C5">
        <v>52137</v>
      </c>
      <c r="D5" t="str">
        <f>HYPERLINK("http://www.ncbi.nlm.nih.gov/Taxonomy/Browser/wwwtax.cgi?mode=Info&amp;id=9595&amp;lvl=3&amp;lin=f&amp;keep=1&amp;srchmode=1&amp;unlock","9595")</f>
        <v>9595</v>
      </c>
      <c r="E5" t="s">
        <v>66</v>
      </c>
      <c r="F5" t="str">
        <f>HYPERLINK("http://www.ncbi.nlm.nih.gov/Taxonomy/Browser/wwwtax.cgi?mode=Info&amp;id=9595&amp;lvl=3&amp;lin=f&amp;keep=1&amp;srchmode=1&amp;unlock","Gorilla gorilla gorilla")</f>
        <v>Gorilla gorilla gorilla</v>
      </c>
      <c r="G5" t="s">
        <v>79</v>
      </c>
      <c r="H5" t="str">
        <f>HYPERLINK("http://www.ncbi.nlm.nih.gov/protein/XP_018891660.1","40S ribosomal protein S3")</f>
        <v>40S ribosomal protein S3</v>
      </c>
      <c r="I5" t="s">
        <v>68</v>
      </c>
      <c r="J5" t="s">
        <v>69</v>
      </c>
      <c r="K5">
        <v>115</v>
      </c>
      <c r="L5" t="s">
        <v>115</v>
      </c>
      <c r="M5" t="s">
        <v>69</v>
      </c>
      <c r="N5" t="s">
        <v>71</v>
      </c>
      <c r="O5" t="s">
        <v>69</v>
      </c>
      <c r="P5">
        <v>117.148</v>
      </c>
      <c r="Q5" t="s">
        <v>69</v>
      </c>
      <c r="R5" t="s">
        <v>69</v>
      </c>
      <c r="S5">
        <v>142</v>
      </c>
      <c r="T5" t="s">
        <v>72</v>
      </c>
      <c r="U5" t="s">
        <v>69</v>
      </c>
      <c r="V5" t="s">
        <v>71</v>
      </c>
      <c r="W5" t="s">
        <v>69</v>
      </c>
      <c r="X5">
        <v>131.17500000000001</v>
      </c>
      <c r="Y5" t="s">
        <v>69</v>
      </c>
      <c r="Z5" t="s">
        <v>69</v>
      </c>
      <c r="AA5">
        <v>150</v>
      </c>
      <c r="AB5" t="s">
        <v>116</v>
      </c>
      <c r="AC5" t="s">
        <v>69</v>
      </c>
      <c r="AD5" t="s">
        <v>117</v>
      </c>
      <c r="AE5" t="s">
        <v>69</v>
      </c>
      <c r="AF5">
        <v>149.208</v>
      </c>
      <c r="AG5" t="s">
        <v>69</v>
      </c>
      <c r="AH5" t="s">
        <v>69</v>
      </c>
      <c r="AI5">
        <v>177</v>
      </c>
      <c r="AJ5" t="s">
        <v>72</v>
      </c>
      <c r="AK5" t="s">
        <v>69</v>
      </c>
      <c r="AL5" t="s">
        <v>71</v>
      </c>
      <c r="AM5" t="s">
        <v>69</v>
      </c>
      <c r="AN5">
        <v>131.17500000000001</v>
      </c>
      <c r="AO5" t="s">
        <v>69</v>
      </c>
      <c r="AP5" t="s">
        <v>69</v>
      </c>
    </row>
    <row r="6" spans="1:42" x14ac:dyDescent="0.25">
      <c r="A6">
        <v>7</v>
      </c>
      <c r="B6" t="str">
        <f>HYPERLINK("http://www.ncbi.nlm.nih.gov/protein/XP_003910477.1","XP_003910477.1")</f>
        <v>XP_003910477.1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HYPERLINK("http://www.ncbi.nlm.nih.gov/protein/XP_003910477.1","40S ribosomal protein S3")</f>
        <v>40S ribosomal protein S3</v>
      </c>
      <c r="I6" t="s">
        <v>68</v>
      </c>
      <c r="J6" t="s">
        <v>69</v>
      </c>
      <c r="K6">
        <v>115</v>
      </c>
      <c r="L6" t="s">
        <v>115</v>
      </c>
      <c r="M6" t="s">
        <v>69</v>
      </c>
      <c r="N6" t="s">
        <v>71</v>
      </c>
      <c r="O6" t="s">
        <v>69</v>
      </c>
      <c r="P6">
        <v>117.148</v>
      </c>
      <c r="Q6" t="s">
        <v>69</v>
      </c>
      <c r="R6" t="s">
        <v>69</v>
      </c>
      <c r="S6">
        <v>142</v>
      </c>
      <c r="T6" t="s">
        <v>72</v>
      </c>
      <c r="U6" t="s">
        <v>69</v>
      </c>
      <c r="V6" t="s">
        <v>71</v>
      </c>
      <c r="W6" t="s">
        <v>69</v>
      </c>
      <c r="X6">
        <v>131.17500000000001</v>
      </c>
      <c r="Y6" t="s">
        <v>69</v>
      </c>
      <c r="Z6" t="s">
        <v>69</v>
      </c>
      <c r="AA6">
        <v>150</v>
      </c>
      <c r="AB6" t="s">
        <v>116</v>
      </c>
      <c r="AC6" t="s">
        <v>69</v>
      </c>
      <c r="AD6" t="s">
        <v>117</v>
      </c>
      <c r="AE6" t="s">
        <v>69</v>
      </c>
      <c r="AF6">
        <v>149.208</v>
      </c>
      <c r="AG6" t="s">
        <v>69</v>
      </c>
      <c r="AH6" t="s">
        <v>69</v>
      </c>
      <c r="AI6">
        <v>177</v>
      </c>
      <c r="AJ6" t="s">
        <v>72</v>
      </c>
      <c r="AK6" t="s">
        <v>69</v>
      </c>
      <c r="AL6" t="s">
        <v>71</v>
      </c>
      <c r="AM6" t="s">
        <v>69</v>
      </c>
      <c r="AN6">
        <v>131.17500000000001</v>
      </c>
      <c r="AO6" t="s">
        <v>69</v>
      </c>
      <c r="AP6" t="s">
        <v>69</v>
      </c>
    </row>
    <row r="7" spans="1:42" x14ac:dyDescent="0.25">
      <c r="A7">
        <v>7</v>
      </c>
      <c r="B7" t="str">
        <f>HYPERLINK("http://www.ncbi.nlm.nih.gov/protein/XP_020769270.1","XP_020769270.1")</f>
        <v>XP_020769270.1</v>
      </c>
      <c r="C7">
        <v>48218</v>
      </c>
      <c r="D7" t="str">
        <f>HYPERLINK("http://www.ncbi.nlm.nih.gov/Taxonomy/Browser/wwwtax.cgi?mode=Info&amp;id=9880&amp;lvl=3&amp;lin=f&amp;keep=1&amp;srchmode=1&amp;unlock","9880")</f>
        <v>9880</v>
      </c>
      <c r="E7" t="s">
        <v>66</v>
      </c>
      <c r="F7" t="str">
        <f>HYPERLINK("http://www.ncbi.nlm.nih.gov/Taxonomy/Browser/wwwtax.cgi?mode=Info&amp;id=9880&amp;lvl=3&amp;lin=f&amp;keep=1&amp;srchmode=1&amp;unlock","Odocoileus virginianus texanus")</f>
        <v>Odocoileus virginianus texanus</v>
      </c>
      <c r="G7" t="s">
        <v>81</v>
      </c>
      <c r="H7" t="str">
        <f>HYPERLINK("http://www.ncbi.nlm.nih.gov/protein/XP_020769270.1","40S ribosomal protein S3")</f>
        <v>40S ribosomal protein S3</v>
      </c>
      <c r="I7" t="s">
        <v>68</v>
      </c>
      <c r="J7" t="s">
        <v>69</v>
      </c>
      <c r="K7">
        <v>115</v>
      </c>
      <c r="L7" t="s">
        <v>115</v>
      </c>
      <c r="M7" t="s">
        <v>69</v>
      </c>
      <c r="N7" t="s">
        <v>71</v>
      </c>
      <c r="O7" t="s">
        <v>69</v>
      </c>
      <c r="P7">
        <v>117.148</v>
      </c>
      <c r="Q7" t="s">
        <v>69</v>
      </c>
      <c r="R7" t="s">
        <v>69</v>
      </c>
      <c r="S7">
        <v>142</v>
      </c>
      <c r="T7" t="s">
        <v>72</v>
      </c>
      <c r="U7" t="s">
        <v>69</v>
      </c>
      <c r="V7" t="s">
        <v>71</v>
      </c>
      <c r="W7" t="s">
        <v>69</v>
      </c>
      <c r="X7">
        <v>131.17500000000001</v>
      </c>
      <c r="Y7" t="s">
        <v>69</v>
      </c>
      <c r="Z7" t="s">
        <v>69</v>
      </c>
      <c r="AA7">
        <v>150</v>
      </c>
      <c r="AB7" t="s">
        <v>116</v>
      </c>
      <c r="AC7" t="s">
        <v>69</v>
      </c>
      <c r="AD7" t="s">
        <v>117</v>
      </c>
      <c r="AE7" t="s">
        <v>69</v>
      </c>
      <c r="AF7">
        <v>149.208</v>
      </c>
      <c r="AG7" t="s">
        <v>69</v>
      </c>
      <c r="AH7" t="s">
        <v>69</v>
      </c>
      <c r="AI7">
        <v>177</v>
      </c>
      <c r="AJ7" t="s">
        <v>72</v>
      </c>
      <c r="AK7" t="s">
        <v>69</v>
      </c>
      <c r="AL7" t="s">
        <v>71</v>
      </c>
      <c r="AM7" t="s">
        <v>69</v>
      </c>
      <c r="AN7">
        <v>131.17500000000001</v>
      </c>
      <c r="AO7" t="s">
        <v>69</v>
      </c>
      <c r="AP7" t="s">
        <v>69</v>
      </c>
    </row>
    <row r="8" spans="1:42" x14ac:dyDescent="0.25">
      <c r="A8">
        <v>7</v>
      </c>
      <c r="B8" t="str">
        <f>HYPERLINK("http://www.ncbi.nlm.nih.gov/protein/NP_001029219.1","NP_001029219.1")</f>
        <v>NP_001029219.1</v>
      </c>
      <c r="C8">
        <v>136186</v>
      </c>
      <c r="D8" t="str">
        <f>HYPERLINK("http://www.ncbi.nlm.nih.gov/Taxonomy/Browser/wwwtax.cgi?mode=Info&amp;id=9913&amp;lvl=3&amp;lin=f&amp;keep=1&amp;srchmode=1&amp;unlock","9913")</f>
        <v>9913</v>
      </c>
      <c r="E8" t="s">
        <v>66</v>
      </c>
      <c r="F8" t="str">
        <f>HYPERLINK("http://www.ncbi.nlm.nih.gov/Taxonomy/Browser/wwwtax.cgi?mode=Info&amp;id=9913&amp;lvl=3&amp;lin=f&amp;keep=1&amp;srchmode=1&amp;unlock","Bos taurus")</f>
        <v>Bos taurus</v>
      </c>
      <c r="G8" t="s">
        <v>82</v>
      </c>
      <c r="H8" t="str">
        <f>HYPERLINK("http://www.ncbi.nlm.nih.gov/protein/NP_001029219.1","40S ribosomal protein S3")</f>
        <v>40S ribosomal protein S3</v>
      </c>
      <c r="I8" t="s">
        <v>68</v>
      </c>
      <c r="J8" t="s">
        <v>69</v>
      </c>
      <c r="K8">
        <v>115</v>
      </c>
      <c r="L8" t="s">
        <v>115</v>
      </c>
      <c r="M8" t="s">
        <v>69</v>
      </c>
      <c r="N8" t="s">
        <v>71</v>
      </c>
      <c r="O8" t="s">
        <v>69</v>
      </c>
      <c r="P8">
        <v>117.148</v>
      </c>
      <c r="Q8" t="s">
        <v>69</v>
      </c>
      <c r="R8" t="s">
        <v>69</v>
      </c>
      <c r="S8">
        <v>142</v>
      </c>
      <c r="T8" t="s">
        <v>72</v>
      </c>
      <c r="U8" t="s">
        <v>69</v>
      </c>
      <c r="V8" t="s">
        <v>71</v>
      </c>
      <c r="W8" t="s">
        <v>69</v>
      </c>
      <c r="X8">
        <v>131.17500000000001</v>
      </c>
      <c r="Y8" t="s">
        <v>69</v>
      </c>
      <c r="Z8" t="s">
        <v>69</v>
      </c>
      <c r="AA8">
        <v>150</v>
      </c>
      <c r="AB8" t="s">
        <v>116</v>
      </c>
      <c r="AC8" t="s">
        <v>69</v>
      </c>
      <c r="AD8" t="s">
        <v>117</v>
      </c>
      <c r="AE8" t="s">
        <v>69</v>
      </c>
      <c r="AF8">
        <v>149.208</v>
      </c>
      <c r="AG8" t="s">
        <v>69</v>
      </c>
      <c r="AH8" t="s">
        <v>69</v>
      </c>
      <c r="AI8">
        <v>177</v>
      </c>
      <c r="AJ8" t="s">
        <v>72</v>
      </c>
      <c r="AK8" t="s">
        <v>69</v>
      </c>
      <c r="AL8" t="s">
        <v>71</v>
      </c>
      <c r="AM8" t="s">
        <v>69</v>
      </c>
      <c r="AN8">
        <v>131.17500000000001</v>
      </c>
      <c r="AO8" t="s">
        <v>69</v>
      </c>
      <c r="AP8" t="s">
        <v>69</v>
      </c>
    </row>
    <row r="9" spans="1:42" x14ac:dyDescent="0.25">
      <c r="A9">
        <v>7</v>
      </c>
      <c r="B9" t="str">
        <f>HYPERLINK("http://www.ncbi.nlm.nih.gov/protein/4D5L_D","4D5L_D")</f>
        <v>4D5L_D</v>
      </c>
      <c r="C9">
        <v>53150</v>
      </c>
      <c r="D9" t="str">
        <f>HYPERLINK("http://www.ncbi.nlm.nih.gov/Taxonomy/Browser/wwwtax.cgi?mode=Info&amp;id=9986&amp;lvl=3&amp;lin=f&amp;keep=1&amp;srchmode=1&amp;unlock","9986")</f>
        <v>9986</v>
      </c>
      <c r="E9" t="s">
        <v>66</v>
      </c>
      <c r="F9" t="str">
        <f>HYPERLINK("http://www.ncbi.nlm.nih.gov/Taxonomy/Browser/wwwtax.cgi?mode=Info&amp;id=9986&amp;lvl=3&amp;lin=f&amp;keep=1&amp;srchmode=1&amp;unlock","Oryctolagus cuniculus")</f>
        <v>Oryctolagus cuniculus</v>
      </c>
      <c r="G9" t="s">
        <v>83</v>
      </c>
      <c r="H9" t="str">
        <f>HYPERLINK("http://www.ncbi.nlm.nih.gov/protein/4D5L_D","Cryo-EM structures of ribosomal 80S complexes with termination factors and cricket paralysis virus IRES reveal the IRES in the translocated state")</f>
        <v>Cryo-EM structures of ribosomal 80S complexes with termination factors and cricket paralysis virus IRES reveal the IRES in the translocated state</v>
      </c>
      <c r="I9" t="s">
        <v>68</v>
      </c>
      <c r="J9" t="s">
        <v>69</v>
      </c>
      <c r="K9">
        <v>115</v>
      </c>
      <c r="L9" t="s">
        <v>115</v>
      </c>
      <c r="M9" t="s">
        <v>69</v>
      </c>
      <c r="N9" t="s">
        <v>71</v>
      </c>
      <c r="O9" t="s">
        <v>69</v>
      </c>
      <c r="P9">
        <v>117.148</v>
      </c>
      <c r="Q9" t="s">
        <v>69</v>
      </c>
      <c r="R9" t="s">
        <v>69</v>
      </c>
      <c r="S9">
        <v>142</v>
      </c>
      <c r="T9" t="s">
        <v>72</v>
      </c>
      <c r="U9" t="s">
        <v>69</v>
      </c>
      <c r="V9" t="s">
        <v>71</v>
      </c>
      <c r="W9" t="s">
        <v>69</v>
      </c>
      <c r="X9">
        <v>131.17500000000001</v>
      </c>
      <c r="Y9" t="s">
        <v>69</v>
      </c>
      <c r="Z9" t="s">
        <v>69</v>
      </c>
      <c r="AA9">
        <v>150</v>
      </c>
      <c r="AB9" t="s">
        <v>116</v>
      </c>
      <c r="AC9" t="s">
        <v>69</v>
      </c>
      <c r="AD9" t="s">
        <v>117</v>
      </c>
      <c r="AE9" t="s">
        <v>69</v>
      </c>
      <c r="AF9">
        <v>149.208</v>
      </c>
      <c r="AG9" t="s">
        <v>69</v>
      </c>
      <c r="AH9" t="s">
        <v>69</v>
      </c>
      <c r="AI9">
        <v>177</v>
      </c>
      <c r="AJ9" t="s">
        <v>72</v>
      </c>
      <c r="AK9" t="s">
        <v>69</v>
      </c>
      <c r="AL9" t="s">
        <v>71</v>
      </c>
      <c r="AM9" t="s">
        <v>69</v>
      </c>
      <c r="AN9">
        <v>131.17500000000001</v>
      </c>
      <c r="AO9" t="s">
        <v>69</v>
      </c>
      <c r="AP9" t="s">
        <v>69</v>
      </c>
    </row>
    <row r="10" spans="1:42" x14ac:dyDescent="0.25">
      <c r="A10">
        <v>7</v>
      </c>
      <c r="B10" t="str">
        <f>HYPERLINK("http://www.ncbi.nlm.nih.gov/protein/2ZKQ_c","2ZKQ_c")</f>
        <v>2ZKQ_c</v>
      </c>
      <c r="C10">
        <v>136357</v>
      </c>
      <c r="D10" t="str">
        <f>HYPERLINK("http://www.ncbi.nlm.nih.gov/Taxonomy/Browser/wwwtax.cgi?mode=Info&amp;id=9615&amp;lvl=3&amp;lin=f&amp;keep=1&amp;srchmode=1&amp;unlock","9615")</f>
        <v>9615</v>
      </c>
      <c r="E10" t="s">
        <v>66</v>
      </c>
      <c r="F10" t="str">
        <f>HYPERLINK("http://www.ncbi.nlm.nih.gov/Taxonomy/Browser/wwwtax.cgi?mode=Info&amp;id=9615&amp;lvl=3&amp;lin=f&amp;keep=1&amp;srchmode=1&amp;unlock","Canis lupus familiaris")</f>
        <v>Canis lupus familiaris</v>
      </c>
      <c r="G10" t="s">
        <v>84</v>
      </c>
      <c r="H10" t="str">
        <f>HYPERLINK("http://www.ncbi.nlm.nih.gov/protein/2ZKQ_c","Structure of a mammalian Ribosomal 40S subunit within an 80S complex obtained by docking homology models of the RNA and proteins into an 8.7 A cryo-EM map")</f>
        <v>Structure of a mammalian Ribosomal 40S subunit within an 80S complex obtained by docking homology models of the RNA and proteins into an 8.7 A cryo-EM map</v>
      </c>
      <c r="I10" t="s">
        <v>68</v>
      </c>
      <c r="J10" t="s">
        <v>69</v>
      </c>
      <c r="K10">
        <v>115</v>
      </c>
      <c r="L10" t="s">
        <v>115</v>
      </c>
      <c r="M10" t="s">
        <v>69</v>
      </c>
      <c r="N10" t="s">
        <v>71</v>
      </c>
      <c r="O10" t="s">
        <v>69</v>
      </c>
      <c r="P10">
        <v>117.148</v>
      </c>
      <c r="Q10" t="s">
        <v>69</v>
      </c>
      <c r="R10" t="s">
        <v>69</v>
      </c>
      <c r="S10">
        <v>142</v>
      </c>
      <c r="T10" t="s">
        <v>72</v>
      </c>
      <c r="U10" t="s">
        <v>69</v>
      </c>
      <c r="V10" t="s">
        <v>71</v>
      </c>
      <c r="W10" t="s">
        <v>69</v>
      </c>
      <c r="X10">
        <v>131.17500000000001</v>
      </c>
      <c r="Y10" t="s">
        <v>69</v>
      </c>
      <c r="Z10" t="s">
        <v>69</v>
      </c>
      <c r="AA10">
        <v>150</v>
      </c>
      <c r="AB10" t="s">
        <v>116</v>
      </c>
      <c r="AC10" t="s">
        <v>69</v>
      </c>
      <c r="AD10" t="s">
        <v>117</v>
      </c>
      <c r="AE10" t="s">
        <v>69</v>
      </c>
      <c r="AF10">
        <v>149.208</v>
      </c>
      <c r="AG10" t="s">
        <v>69</v>
      </c>
      <c r="AH10" t="s">
        <v>69</v>
      </c>
      <c r="AI10">
        <v>177</v>
      </c>
      <c r="AJ10" t="s">
        <v>72</v>
      </c>
      <c r="AK10" t="s">
        <v>69</v>
      </c>
      <c r="AL10" t="s">
        <v>71</v>
      </c>
      <c r="AM10" t="s">
        <v>69</v>
      </c>
      <c r="AN10">
        <v>131.17500000000001</v>
      </c>
      <c r="AO10" t="s">
        <v>69</v>
      </c>
      <c r="AP10" t="s">
        <v>69</v>
      </c>
    </row>
    <row r="11" spans="1:42" x14ac:dyDescent="0.25">
      <c r="A11">
        <v>7</v>
      </c>
      <c r="B11" t="str">
        <f>HYPERLINK("http://www.ncbi.nlm.nih.gov/protein/NP_001038066.1","NP_001038066.1")</f>
        <v>NP_001038066.1</v>
      </c>
      <c r="C11">
        <v>86952</v>
      </c>
      <c r="D11" t="str">
        <f>HYPERLINK("http://www.ncbi.nlm.nih.gov/Taxonomy/Browser/wwwtax.cgi?mode=Info&amp;id=9823&amp;lvl=3&amp;lin=f&amp;keep=1&amp;srchmode=1&amp;unlock","9823")</f>
        <v>9823</v>
      </c>
      <c r="E11" t="s">
        <v>66</v>
      </c>
      <c r="F11" t="str">
        <f>HYPERLINK("http://www.ncbi.nlm.nih.gov/Taxonomy/Browser/wwwtax.cgi?mode=Info&amp;id=9823&amp;lvl=3&amp;lin=f&amp;keep=1&amp;srchmode=1&amp;unlock","Sus scrofa")</f>
        <v>Sus scrofa</v>
      </c>
      <c r="G11" t="s">
        <v>85</v>
      </c>
      <c r="H11" t="str">
        <f>HYPERLINK("http://www.ncbi.nlm.nih.gov/protein/NP_001038066.1","40S ribosomal protein S3")</f>
        <v>40S ribosomal protein S3</v>
      </c>
      <c r="I11" t="s">
        <v>68</v>
      </c>
      <c r="J11" t="s">
        <v>69</v>
      </c>
      <c r="K11">
        <v>115</v>
      </c>
      <c r="L11" t="s">
        <v>115</v>
      </c>
      <c r="M11" t="s">
        <v>69</v>
      </c>
      <c r="N11" t="s">
        <v>71</v>
      </c>
      <c r="O11" t="s">
        <v>69</v>
      </c>
      <c r="P11">
        <v>117.148</v>
      </c>
      <c r="Q11" t="s">
        <v>69</v>
      </c>
      <c r="R11" t="s">
        <v>69</v>
      </c>
      <c r="S11">
        <v>142</v>
      </c>
      <c r="T11" t="s">
        <v>72</v>
      </c>
      <c r="U11" t="s">
        <v>69</v>
      </c>
      <c r="V11" t="s">
        <v>71</v>
      </c>
      <c r="W11" t="s">
        <v>69</v>
      </c>
      <c r="X11">
        <v>131.17500000000001</v>
      </c>
      <c r="Y11" t="s">
        <v>69</v>
      </c>
      <c r="Z11" t="s">
        <v>69</v>
      </c>
      <c r="AA11">
        <v>150</v>
      </c>
      <c r="AB11" t="s">
        <v>116</v>
      </c>
      <c r="AC11" t="s">
        <v>69</v>
      </c>
      <c r="AD11" t="s">
        <v>117</v>
      </c>
      <c r="AE11" t="s">
        <v>69</v>
      </c>
      <c r="AF11">
        <v>149.208</v>
      </c>
      <c r="AG11" t="s">
        <v>69</v>
      </c>
      <c r="AH11" t="s">
        <v>69</v>
      </c>
      <c r="AI11">
        <v>177</v>
      </c>
      <c r="AJ11" t="s">
        <v>72</v>
      </c>
      <c r="AK11" t="s">
        <v>69</v>
      </c>
      <c r="AL11" t="s">
        <v>71</v>
      </c>
      <c r="AM11" t="s">
        <v>69</v>
      </c>
      <c r="AN11">
        <v>131.17500000000001</v>
      </c>
      <c r="AO11" t="s">
        <v>69</v>
      </c>
      <c r="AP11" t="s">
        <v>69</v>
      </c>
    </row>
    <row r="12" spans="1:42" x14ac:dyDescent="0.25">
      <c r="A12">
        <v>7</v>
      </c>
      <c r="B12" t="str">
        <f>HYPERLINK("http://www.ncbi.nlm.nih.gov/protein/XP_003992770.1","XP_003992770.1")</f>
        <v>XP_003992770.1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HYPERLINK("http://www.ncbi.nlm.nih.gov/protein/XP_003992770.1","40S ribosomal protein S3")</f>
        <v>40S ribosomal protein S3</v>
      </c>
      <c r="I12" t="s">
        <v>68</v>
      </c>
      <c r="J12" t="s">
        <v>69</v>
      </c>
      <c r="K12">
        <v>115</v>
      </c>
      <c r="L12" t="s">
        <v>115</v>
      </c>
      <c r="M12" t="s">
        <v>69</v>
      </c>
      <c r="N12" t="s">
        <v>71</v>
      </c>
      <c r="O12" t="s">
        <v>69</v>
      </c>
      <c r="P12">
        <v>117.148</v>
      </c>
      <c r="Q12" t="s">
        <v>69</v>
      </c>
      <c r="R12" t="s">
        <v>69</v>
      </c>
      <c r="S12">
        <v>142</v>
      </c>
      <c r="T12" t="s">
        <v>72</v>
      </c>
      <c r="U12" t="s">
        <v>69</v>
      </c>
      <c r="V12" t="s">
        <v>71</v>
      </c>
      <c r="W12" t="s">
        <v>69</v>
      </c>
      <c r="X12">
        <v>131.17500000000001</v>
      </c>
      <c r="Y12" t="s">
        <v>69</v>
      </c>
      <c r="Z12" t="s">
        <v>69</v>
      </c>
      <c r="AA12">
        <v>150</v>
      </c>
      <c r="AB12" t="s">
        <v>116</v>
      </c>
      <c r="AC12" t="s">
        <v>69</v>
      </c>
      <c r="AD12" t="s">
        <v>117</v>
      </c>
      <c r="AE12" t="s">
        <v>69</v>
      </c>
      <c r="AF12">
        <v>149.208</v>
      </c>
      <c r="AG12" t="s">
        <v>69</v>
      </c>
      <c r="AH12" t="s">
        <v>69</v>
      </c>
      <c r="AI12">
        <v>177</v>
      </c>
      <c r="AJ12" t="s">
        <v>72</v>
      </c>
      <c r="AK12" t="s">
        <v>69</v>
      </c>
      <c r="AL12" t="s">
        <v>71</v>
      </c>
      <c r="AM12" t="s">
        <v>69</v>
      </c>
      <c r="AN12">
        <v>131.17500000000001</v>
      </c>
      <c r="AO12" t="s">
        <v>69</v>
      </c>
      <c r="AP12" t="s">
        <v>69</v>
      </c>
    </row>
    <row r="13" spans="1:42" x14ac:dyDescent="0.25">
      <c r="A13">
        <v>7</v>
      </c>
      <c r="B13" t="str">
        <f>HYPERLINK("http://www.ncbi.nlm.nih.gov/protein/XP_005074039.1","XP_005074039.1")</f>
        <v>XP_005074039.1</v>
      </c>
      <c r="C13">
        <v>54410</v>
      </c>
      <c r="D13" t="str">
        <f>HYPERLINK("http://www.ncbi.nlm.nih.gov/Taxonomy/Browser/wwwtax.cgi?mode=Info&amp;id=10036&amp;lvl=3&amp;lin=f&amp;keep=1&amp;srchmode=1&amp;unlock","10036")</f>
        <v>10036</v>
      </c>
      <c r="E13" t="s">
        <v>66</v>
      </c>
      <c r="F13" t="str">
        <f>HYPERLINK("http://www.ncbi.nlm.nih.gov/Taxonomy/Browser/wwwtax.cgi?mode=Info&amp;id=10036&amp;lvl=3&amp;lin=f&amp;keep=1&amp;srchmode=1&amp;unlock","Mesocricetus auratus")</f>
        <v>Mesocricetus auratus</v>
      </c>
      <c r="G13" t="s">
        <v>87</v>
      </c>
      <c r="H13" t="str">
        <f>HYPERLINK("http://www.ncbi.nlm.nih.gov/protein/XP_005074039.1","40S ribosomal protein S3")</f>
        <v>40S ribosomal protein S3</v>
      </c>
      <c r="I13" t="s">
        <v>68</v>
      </c>
      <c r="J13" t="s">
        <v>69</v>
      </c>
      <c r="K13">
        <v>115</v>
      </c>
      <c r="L13" t="s">
        <v>115</v>
      </c>
      <c r="M13" t="s">
        <v>69</v>
      </c>
      <c r="N13" t="s">
        <v>71</v>
      </c>
      <c r="O13" t="s">
        <v>69</v>
      </c>
      <c r="P13">
        <v>117.148</v>
      </c>
      <c r="Q13" t="s">
        <v>69</v>
      </c>
      <c r="R13" t="s">
        <v>69</v>
      </c>
      <c r="S13">
        <v>142</v>
      </c>
      <c r="T13" t="s">
        <v>72</v>
      </c>
      <c r="U13" t="s">
        <v>69</v>
      </c>
      <c r="V13" t="s">
        <v>71</v>
      </c>
      <c r="W13" t="s">
        <v>69</v>
      </c>
      <c r="X13">
        <v>131.17500000000001</v>
      </c>
      <c r="Y13" t="s">
        <v>69</v>
      </c>
      <c r="Z13" t="s">
        <v>69</v>
      </c>
      <c r="AA13">
        <v>150</v>
      </c>
      <c r="AB13" t="s">
        <v>116</v>
      </c>
      <c r="AC13" t="s">
        <v>69</v>
      </c>
      <c r="AD13" t="s">
        <v>117</v>
      </c>
      <c r="AE13" t="s">
        <v>69</v>
      </c>
      <c r="AF13">
        <v>149.208</v>
      </c>
      <c r="AG13" t="s">
        <v>69</v>
      </c>
      <c r="AH13" t="s">
        <v>69</v>
      </c>
      <c r="AI13">
        <v>177</v>
      </c>
      <c r="AJ13" t="s">
        <v>72</v>
      </c>
      <c r="AK13" t="s">
        <v>69</v>
      </c>
      <c r="AL13" t="s">
        <v>71</v>
      </c>
      <c r="AM13" t="s">
        <v>69</v>
      </c>
      <c r="AN13">
        <v>131.17500000000001</v>
      </c>
      <c r="AO13" t="s">
        <v>69</v>
      </c>
      <c r="AP13" t="s">
        <v>69</v>
      </c>
    </row>
    <row r="14" spans="1:42" x14ac:dyDescent="0.25">
      <c r="A14">
        <v>7</v>
      </c>
      <c r="B14" t="str">
        <f>HYPERLINK("http://www.ncbi.nlm.nih.gov/protein/XP_006982221.1","XP_006982221.1")</f>
        <v>XP_006982221.1</v>
      </c>
      <c r="C14">
        <v>54287</v>
      </c>
      <c r="D14" t="str">
        <f>HYPERLINK("http://www.ncbi.nlm.nih.gov/Taxonomy/Browser/wwwtax.cgi?mode=Info&amp;id=230844&amp;lvl=3&amp;lin=f&amp;keep=1&amp;srchmode=1&amp;unlock","230844")</f>
        <v>230844</v>
      </c>
      <c r="E14" t="s">
        <v>66</v>
      </c>
      <c r="F14" t="str">
        <f>HYPERLINK("http://www.ncbi.nlm.nih.gov/Taxonomy/Browser/wwwtax.cgi?mode=Info&amp;id=230844&amp;lvl=3&amp;lin=f&amp;keep=1&amp;srchmode=1&amp;unlock","Peromyscus maniculatus bairdii")</f>
        <v>Peromyscus maniculatus bairdii</v>
      </c>
      <c r="G14" t="s">
        <v>88</v>
      </c>
      <c r="H14" t="str">
        <f>HYPERLINK("http://www.ncbi.nlm.nih.gov/protein/XP_006982221.1","40S ribosomal protein S3")</f>
        <v>40S ribosomal protein S3</v>
      </c>
      <c r="I14" t="s">
        <v>68</v>
      </c>
      <c r="J14" t="s">
        <v>69</v>
      </c>
      <c r="K14">
        <v>115</v>
      </c>
      <c r="L14" t="s">
        <v>115</v>
      </c>
      <c r="M14" t="s">
        <v>69</v>
      </c>
      <c r="N14" t="s">
        <v>71</v>
      </c>
      <c r="O14" t="s">
        <v>69</v>
      </c>
      <c r="P14">
        <v>117.148</v>
      </c>
      <c r="Q14" t="s">
        <v>69</v>
      </c>
      <c r="R14" t="s">
        <v>69</v>
      </c>
      <c r="S14">
        <v>142</v>
      </c>
      <c r="T14" t="s">
        <v>72</v>
      </c>
      <c r="U14" t="s">
        <v>69</v>
      </c>
      <c r="V14" t="s">
        <v>71</v>
      </c>
      <c r="W14" t="s">
        <v>69</v>
      </c>
      <c r="X14">
        <v>131.17500000000001</v>
      </c>
      <c r="Y14" t="s">
        <v>69</v>
      </c>
      <c r="Z14" t="s">
        <v>69</v>
      </c>
      <c r="AA14">
        <v>150</v>
      </c>
      <c r="AB14" t="s">
        <v>116</v>
      </c>
      <c r="AC14" t="s">
        <v>69</v>
      </c>
      <c r="AD14" t="s">
        <v>117</v>
      </c>
      <c r="AE14" t="s">
        <v>69</v>
      </c>
      <c r="AF14">
        <v>149.208</v>
      </c>
      <c r="AG14" t="s">
        <v>69</v>
      </c>
      <c r="AH14" t="s">
        <v>69</v>
      </c>
      <c r="AI14">
        <v>177</v>
      </c>
      <c r="AJ14" t="s">
        <v>72</v>
      </c>
      <c r="AK14" t="s">
        <v>69</v>
      </c>
      <c r="AL14" t="s">
        <v>71</v>
      </c>
      <c r="AM14" t="s">
        <v>69</v>
      </c>
      <c r="AN14">
        <v>131.17500000000001</v>
      </c>
      <c r="AO14" t="s">
        <v>69</v>
      </c>
      <c r="AP14" t="s">
        <v>69</v>
      </c>
    </row>
    <row r="15" spans="1:42" x14ac:dyDescent="0.25">
      <c r="A15">
        <v>7</v>
      </c>
      <c r="B15" t="str">
        <f>HYPERLINK("http://www.ncbi.nlm.nih.gov/protein/XP_007080886.1","XP_007080886.1")</f>
        <v>XP_007080886.1</v>
      </c>
      <c r="C15">
        <v>56089</v>
      </c>
      <c r="D15" t="str">
        <f>HYPERLINK("http://www.ncbi.nlm.nih.gov/Taxonomy/Browser/wwwtax.cgi?mode=Info&amp;id=9694&amp;lvl=3&amp;lin=f&amp;keep=1&amp;srchmode=1&amp;unlock","9694")</f>
        <v>9694</v>
      </c>
      <c r="E15" t="s">
        <v>66</v>
      </c>
      <c r="F15" t="str">
        <f>HYPERLINK("http://www.ncbi.nlm.nih.gov/Taxonomy/Browser/wwwtax.cgi?mode=Info&amp;id=9694&amp;lvl=3&amp;lin=f&amp;keep=1&amp;srchmode=1&amp;unlock","Panthera tigris")</f>
        <v>Panthera tigris</v>
      </c>
      <c r="G15" t="s">
        <v>89</v>
      </c>
      <c r="H15" t="str">
        <f>HYPERLINK("http://www.ncbi.nlm.nih.gov/protein/XP_007080886.1","40S ribosomal protein S3")</f>
        <v>40S ribosomal protein S3</v>
      </c>
      <c r="I15" t="s">
        <v>68</v>
      </c>
      <c r="J15" t="s">
        <v>69</v>
      </c>
      <c r="K15">
        <v>115</v>
      </c>
      <c r="L15" t="s">
        <v>115</v>
      </c>
      <c r="M15" t="s">
        <v>69</v>
      </c>
      <c r="N15" t="s">
        <v>71</v>
      </c>
      <c r="O15" t="s">
        <v>69</v>
      </c>
      <c r="P15">
        <v>117.148</v>
      </c>
      <c r="Q15" t="s">
        <v>69</v>
      </c>
      <c r="R15" t="s">
        <v>69</v>
      </c>
      <c r="S15">
        <v>142</v>
      </c>
      <c r="T15" t="s">
        <v>72</v>
      </c>
      <c r="U15" t="s">
        <v>69</v>
      </c>
      <c r="V15" t="s">
        <v>71</v>
      </c>
      <c r="W15" t="s">
        <v>69</v>
      </c>
      <c r="X15">
        <v>131.17500000000001</v>
      </c>
      <c r="Y15" t="s">
        <v>69</v>
      </c>
      <c r="Z15" t="s">
        <v>69</v>
      </c>
      <c r="AA15">
        <v>150</v>
      </c>
      <c r="AB15" t="s">
        <v>116</v>
      </c>
      <c r="AC15" t="s">
        <v>69</v>
      </c>
      <c r="AD15" t="s">
        <v>117</v>
      </c>
      <c r="AE15" t="s">
        <v>69</v>
      </c>
      <c r="AF15">
        <v>149.208</v>
      </c>
      <c r="AG15" t="s">
        <v>69</v>
      </c>
      <c r="AH15" t="s">
        <v>69</v>
      </c>
      <c r="AI15">
        <v>177</v>
      </c>
      <c r="AJ15" t="s">
        <v>72</v>
      </c>
      <c r="AK15" t="s">
        <v>69</v>
      </c>
      <c r="AL15" t="s">
        <v>71</v>
      </c>
      <c r="AM15" t="s">
        <v>69</v>
      </c>
      <c r="AN15">
        <v>131.17500000000001</v>
      </c>
      <c r="AO15" t="s">
        <v>69</v>
      </c>
      <c r="AP15" t="s">
        <v>69</v>
      </c>
    </row>
    <row r="16" spans="1:42" x14ac:dyDescent="0.25">
      <c r="A16">
        <v>7</v>
      </c>
      <c r="B16" t="str">
        <f>HYPERLINK("http://www.ncbi.nlm.nih.gov/protein/XP_042761374.1","XP_042761374.1")</f>
        <v>XP_042761374.1</v>
      </c>
      <c r="C16">
        <v>53677</v>
      </c>
      <c r="D16" t="str">
        <f>HYPERLINK("http://www.ncbi.nlm.nih.gov/Taxonomy/Browser/wwwtax.cgi?mode=Info&amp;id=9689&amp;lvl=3&amp;lin=f&amp;keep=1&amp;srchmode=1&amp;unlock","9689")</f>
        <v>9689</v>
      </c>
      <c r="E16" t="s">
        <v>66</v>
      </c>
      <c r="F16" t="str">
        <f>HYPERLINK("http://www.ncbi.nlm.nih.gov/Taxonomy/Browser/wwwtax.cgi?mode=Info&amp;id=9689&amp;lvl=3&amp;lin=f&amp;keep=1&amp;srchmode=1&amp;unlock","Panthera leo")</f>
        <v>Panthera leo</v>
      </c>
      <c r="G16" t="s">
        <v>90</v>
      </c>
      <c r="H16" t="str">
        <f>HYPERLINK("http://www.ncbi.nlm.nih.gov/protein/XP_042761374.1","40S ribosomal protein S3")</f>
        <v>40S ribosomal protein S3</v>
      </c>
      <c r="I16" t="s">
        <v>68</v>
      </c>
      <c r="J16" t="s">
        <v>69</v>
      </c>
      <c r="K16">
        <v>115</v>
      </c>
      <c r="L16" t="s">
        <v>115</v>
      </c>
      <c r="M16" t="s">
        <v>69</v>
      </c>
      <c r="N16" t="s">
        <v>71</v>
      </c>
      <c r="O16" t="s">
        <v>69</v>
      </c>
      <c r="P16">
        <v>117.148</v>
      </c>
      <c r="Q16" t="s">
        <v>69</v>
      </c>
      <c r="R16" t="s">
        <v>69</v>
      </c>
      <c r="S16">
        <v>142</v>
      </c>
      <c r="T16" t="s">
        <v>72</v>
      </c>
      <c r="U16" t="s">
        <v>69</v>
      </c>
      <c r="V16" t="s">
        <v>71</v>
      </c>
      <c r="W16" t="s">
        <v>69</v>
      </c>
      <c r="X16">
        <v>131.17500000000001</v>
      </c>
      <c r="Y16" t="s">
        <v>69</v>
      </c>
      <c r="Z16" t="s">
        <v>69</v>
      </c>
      <c r="AA16">
        <v>150</v>
      </c>
      <c r="AB16" t="s">
        <v>116</v>
      </c>
      <c r="AC16" t="s">
        <v>69</v>
      </c>
      <c r="AD16" t="s">
        <v>117</v>
      </c>
      <c r="AE16" t="s">
        <v>69</v>
      </c>
      <c r="AF16">
        <v>149.208</v>
      </c>
      <c r="AG16" t="s">
        <v>69</v>
      </c>
      <c r="AH16" t="s">
        <v>69</v>
      </c>
      <c r="AI16">
        <v>177</v>
      </c>
      <c r="AJ16" t="s">
        <v>72</v>
      </c>
      <c r="AK16" t="s">
        <v>69</v>
      </c>
      <c r="AL16" t="s">
        <v>71</v>
      </c>
      <c r="AM16" t="s">
        <v>69</v>
      </c>
      <c r="AN16">
        <v>131.17500000000001</v>
      </c>
      <c r="AO16" t="s">
        <v>69</v>
      </c>
      <c r="AP16" t="s">
        <v>69</v>
      </c>
    </row>
    <row r="17" spans="1:42" x14ac:dyDescent="0.25">
      <c r="A17">
        <v>7</v>
      </c>
      <c r="B17" t="str">
        <f>HYPERLINK("http://www.ncbi.nlm.nih.gov/protein/XP_025784228.1","XP_025784228.1")</f>
        <v>XP_025784228.1</v>
      </c>
      <c r="C17">
        <v>23623</v>
      </c>
      <c r="D17" t="str">
        <f>HYPERLINK("http://www.ncbi.nlm.nih.gov/Taxonomy/Browser/wwwtax.cgi?mode=Info&amp;id=9696&amp;lvl=3&amp;lin=f&amp;keep=1&amp;srchmode=1&amp;unlock","9696")</f>
        <v>9696</v>
      </c>
      <c r="E17" t="s">
        <v>66</v>
      </c>
      <c r="F17" t="str">
        <f>HYPERLINK("http://www.ncbi.nlm.nih.gov/Taxonomy/Browser/wwwtax.cgi?mode=Info&amp;id=9696&amp;lvl=3&amp;lin=f&amp;keep=1&amp;srchmode=1&amp;unlock","Puma concolor")</f>
        <v>Puma concolor</v>
      </c>
      <c r="G17" t="s">
        <v>91</v>
      </c>
      <c r="H17" t="str">
        <f>HYPERLINK("http://www.ncbi.nlm.nih.gov/protein/XP_025784228.1","40S ribosomal protein S3")</f>
        <v>40S ribosomal protein S3</v>
      </c>
      <c r="I17" t="s">
        <v>68</v>
      </c>
      <c r="J17" t="s">
        <v>69</v>
      </c>
      <c r="K17">
        <v>115</v>
      </c>
      <c r="L17" t="s">
        <v>115</v>
      </c>
      <c r="M17" t="s">
        <v>69</v>
      </c>
      <c r="N17" t="s">
        <v>71</v>
      </c>
      <c r="O17" t="s">
        <v>69</v>
      </c>
      <c r="P17">
        <v>117.148</v>
      </c>
      <c r="Q17" t="s">
        <v>69</v>
      </c>
      <c r="R17" t="s">
        <v>69</v>
      </c>
      <c r="S17">
        <v>142</v>
      </c>
      <c r="T17" t="s">
        <v>72</v>
      </c>
      <c r="U17" t="s">
        <v>69</v>
      </c>
      <c r="V17" t="s">
        <v>71</v>
      </c>
      <c r="W17" t="s">
        <v>69</v>
      </c>
      <c r="X17">
        <v>131.17500000000001</v>
      </c>
      <c r="Y17" t="s">
        <v>69</v>
      </c>
      <c r="Z17" t="s">
        <v>69</v>
      </c>
      <c r="AA17">
        <v>150</v>
      </c>
      <c r="AB17" t="s">
        <v>116</v>
      </c>
      <c r="AC17" t="s">
        <v>69</v>
      </c>
      <c r="AD17" t="s">
        <v>117</v>
      </c>
      <c r="AE17" t="s">
        <v>69</v>
      </c>
      <c r="AF17">
        <v>149.208</v>
      </c>
      <c r="AG17" t="s">
        <v>69</v>
      </c>
      <c r="AH17" t="s">
        <v>69</v>
      </c>
      <c r="AI17">
        <v>177</v>
      </c>
      <c r="AJ17" t="s">
        <v>72</v>
      </c>
      <c r="AK17" t="s">
        <v>69</v>
      </c>
      <c r="AL17" t="s">
        <v>71</v>
      </c>
      <c r="AM17" t="s">
        <v>69</v>
      </c>
      <c r="AN17">
        <v>131.17500000000001</v>
      </c>
      <c r="AO17" t="s">
        <v>69</v>
      </c>
      <c r="AP17" t="s">
        <v>69</v>
      </c>
    </row>
    <row r="18" spans="1:42" x14ac:dyDescent="0.25">
      <c r="A18">
        <v>7</v>
      </c>
      <c r="B18" t="str">
        <f>HYPERLINK("http://www.ncbi.nlm.nih.gov/protein/CAD7673017.1","CAD7673017.1")</f>
        <v>CAD7673017.1</v>
      </c>
      <c r="C18">
        <v>27271</v>
      </c>
      <c r="D18" t="str">
        <f>HYPERLINK("http://www.ncbi.nlm.nih.gov/Taxonomy/Browser/wwwtax.cgi?mode=Info&amp;id=34880&amp;lvl=3&amp;lin=f&amp;keep=1&amp;srchmode=1&amp;unlock","34880")</f>
        <v>34880</v>
      </c>
      <c r="E18" t="s">
        <v>66</v>
      </c>
      <c r="F18" t="str">
        <f>HYPERLINK("http://www.ncbi.nlm.nih.gov/Taxonomy/Browser/wwwtax.cgi?mode=Info&amp;id=34880&amp;lvl=3&amp;lin=f&amp;keep=1&amp;srchmode=1&amp;unlock","Nyctereutes procyonoides")</f>
        <v>Nyctereutes procyonoides</v>
      </c>
      <c r="G18" t="s">
        <v>92</v>
      </c>
      <c r="H18" t="str">
        <f>HYPERLINK("http://www.ncbi.nlm.nih.gov/protein/CAD7673017.1","unnamed protein product")</f>
        <v>unnamed protein product</v>
      </c>
      <c r="I18" t="s">
        <v>68</v>
      </c>
      <c r="J18" t="s">
        <v>69</v>
      </c>
      <c r="K18">
        <v>115</v>
      </c>
      <c r="L18" t="s">
        <v>115</v>
      </c>
      <c r="M18" t="s">
        <v>69</v>
      </c>
      <c r="N18" t="s">
        <v>71</v>
      </c>
      <c r="O18" t="s">
        <v>69</v>
      </c>
      <c r="P18">
        <v>117.148</v>
      </c>
      <c r="Q18" t="s">
        <v>69</v>
      </c>
      <c r="R18" t="s">
        <v>69</v>
      </c>
      <c r="S18">
        <v>142</v>
      </c>
      <c r="T18" t="s">
        <v>72</v>
      </c>
      <c r="U18" t="s">
        <v>69</v>
      </c>
      <c r="V18" t="s">
        <v>71</v>
      </c>
      <c r="W18" t="s">
        <v>69</v>
      </c>
      <c r="X18">
        <v>131.17500000000001</v>
      </c>
      <c r="Y18" t="s">
        <v>69</v>
      </c>
      <c r="Z18" t="s">
        <v>69</v>
      </c>
      <c r="AA18">
        <v>150</v>
      </c>
      <c r="AB18" t="s">
        <v>116</v>
      </c>
      <c r="AC18" t="s">
        <v>69</v>
      </c>
      <c r="AD18" t="s">
        <v>117</v>
      </c>
      <c r="AE18" t="s">
        <v>69</v>
      </c>
      <c r="AF18">
        <v>149.208</v>
      </c>
      <c r="AG18" t="s">
        <v>69</v>
      </c>
      <c r="AH18" t="s">
        <v>69</v>
      </c>
      <c r="AI18">
        <v>177</v>
      </c>
      <c r="AJ18" t="s">
        <v>72</v>
      </c>
      <c r="AK18" t="s">
        <v>69</v>
      </c>
      <c r="AL18" t="s">
        <v>71</v>
      </c>
      <c r="AM18" t="s">
        <v>69</v>
      </c>
      <c r="AN18">
        <v>131.17500000000001</v>
      </c>
      <c r="AO18" t="s">
        <v>69</v>
      </c>
      <c r="AP18" t="s">
        <v>69</v>
      </c>
    </row>
    <row r="19" spans="1:42" x14ac:dyDescent="0.25">
      <c r="A19">
        <v>7</v>
      </c>
      <c r="B19" t="str">
        <f>HYPERLINK("http://www.ncbi.nlm.nih.gov/protein/XP_046926861.1","XP_046926861.1")</f>
        <v>XP_046926861.1</v>
      </c>
      <c r="C19">
        <v>38764</v>
      </c>
      <c r="D19" t="str">
        <f>HYPERLINK("http://www.ncbi.nlm.nih.gov/Taxonomy/Browser/wwwtax.cgi?mode=Info&amp;id=61384&amp;lvl=3&amp;lin=f&amp;keep=1&amp;srchmode=1&amp;unlock","61384")</f>
        <v>61384</v>
      </c>
      <c r="E19" t="s">
        <v>66</v>
      </c>
      <c r="F19" t="str">
        <f>HYPERLINK("http://www.ncbi.nlm.nih.gov/Taxonomy/Browser/wwwtax.cgi?mode=Info&amp;id=61384&amp;lvl=3&amp;lin=f&amp;keep=1&amp;srchmode=1&amp;unlock","Lynx rufus")</f>
        <v>Lynx rufus</v>
      </c>
      <c r="G19" t="s">
        <v>93</v>
      </c>
      <c r="H19" t="str">
        <f>HYPERLINK("http://www.ncbi.nlm.nih.gov/protein/XP_046926861.1","40S ribosomal protein S3")</f>
        <v>40S ribosomal protein S3</v>
      </c>
      <c r="I19" t="s">
        <v>68</v>
      </c>
      <c r="J19" t="s">
        <v>69</v>
      </c>
      <c r="K19">
        <v>115</v>
      </c>
      <c r="L19" t="s">
        <v>115</v>
      </c>
      <c r="M19" t="s">
        <v>69</v>
      </c>
      <c r="N19" t="s">
        <v>71</v>
      </c>
      <c r="O19" t="s">
        <v>69</v>
      </c>
      <c r="P19">
        <v>117.148</v>
      </c>
      <c r="Q19" t="s">
        <v>69</v>
      </c>
      <c r="R19" t="s">
        <v>69</v>
      </c>
      <c r="S19">
        <v>142</v>
      </c>
      <c r="T19" t="s">
        <v>72</v>
      </c>
      <c r="U19" t="s">
        <v>69</v>
      </c>
      <c r="V19" t="s">
        <v>71</v>
      </c>
      <c r="W19" t="s">
        <v>69</v>
      </c>
      <c r="X19">
        <v>131.17500000000001</v>
      </c>
      <c r="Y19" t="s">
        <v>69</v>
      </c>
      <c r="Z19" t="s">
        <v>69</v>
      </c>
      <c r="AA19">
        <v>150</v>
      </c>
      <c r="AB19" t="s">
        <v>116</v>
      </c>
      <c r="AC19" t="s">
        <v>69</v>
      </c>
      <c r="AD19" t="s">
        <v>117</v>
      </c>
      <c r="AE19" t="s">
        <v>69</v>
      </c>
      <c r="AF19">
        <v>149.208</v>
      </c>
      <c r="AG19" t="s">
        <v>69</v>
      </c>
      <c r="AH19" t="s">
        <v>69</v>
      </c>
      <c r="AI19">
        <v>177</v>
      </c>
      <c r="AJ19" t="s">
        <v>72</v>
      </c>
      <c r="AK19" t="s">
        <v>69</v>
      </c>
      <c r="AL19" t="s">
        <v>71</v>
      </c>
      <c r="AM19" t="s">
        <v>69</v>
      </c>
      <c r="AN19">
        <v>131.17500000000001</v>
      </c>
      <c r="AO19" t="s">
        <v>69</v>
      </c>
      <c r="AP19" t="s">
        <v>69</v>
      </c>
    </row>
    <row r="20" spans="1:42" x14ac:dyDescent="0.25">
      <c r="A20">
        <v>7</v>
      </c>
      <c r="B20" t="str">
        <f>HYPERLINK("http://www.ncbi.nlm.nih.gov/protein/XP_047679603.1","XP_047679603.1")</f>
        <v>XP_047679603.1</v>
      </c>
      <c r="C20">
        <v>56399</v>
      </c>
      <c r="D20" t="str">
        <f>HYPERLINK("http://www.ncbi.nlm.nih.gov/Taxonomy/Browser/wwwtax.cgi?mode=Info&amp;id=61388&amp;lvl=3&amp;lin=f&amp;keep=1&amp;srchmode=1&amp;unlock","61388")</f>
        <v>61388</v>
      </c>
      <c r="E20" t="s">
        <v>66</v>
      </c>
      <c r="F20" t="str">
        <f>HYPERLINK("http://www.ncbi.nlm.nih.gov/Taxonomy/Browser/wwwtax.cgi?mode=Info&amp;id=61388&amp;lvl=3&amp;lin=f&amp;keep=1&amp;srchmode=1&amp;unlock","Prionailurus viverrinus")</f>
        <v>Prionailurus viverrinus</v>
      </c>
      <c r="G20" t="s">
        <v>94</v>
      </c>
      <c r="H20" t="str">
        <f>HYPERLINK("http://www.ncbi.nlm.nih.gov/protein/XP_047679603.1","40S ribosomal protein S3")</f>
        <v>40S ribosomal protein S3</v>
      </c>
      <c r="I20" t="s">
        <v>68</v>
      </c>
      <c r="J20" t="s">
        <v>69</v>
      </c>
      <c r="K20">
        <v>115</v>
      </c>
      <c r="L20" t="s">
        <v>115</v>
      </c>
      <c r="M20" t="s">
        <v>69</v>
      </c>
      <c r="N20" t="s">
        <v>71</v>
      </c>
      <c r="O20" t="s">
        <v>69</v>
      </c>
      <c r="P20">
        <v>117.148</v>
      </c>
      <c r="Q20" t="s">
        <v>69</v>
      </c>
      <c r="R20" t="s">
        <v>69</v>
      </c>
      <c r="S20">
        <v>142</v>
      </c>
      <c r="T20" t="s">
        <v>72</v>
      </c>
      <c r="U20" t="s">
        <v>69</v>
      </c>
      <c r="V20" t="s">
        <v>71</v>
      </c>
      <c r="W20" t="s">
        <v>69</v>
      </c>
      <c r="X20">
        <v>131.17500000000001</v>
      </c>
      <c r="Y20" t="s">
        <v>69</v>
      </c>
      <c r="Z20" t="s">
        <v>69</v>
      </c>
      <c r="AA20">
        <v>150</v>
      </c>
      <c r="AB20" t="s">
        <v>116</v>
      </c>
      <c r="AC20" t="s">
        <v>69</v>
      </c>
      <c r="AD20" t="s">
        <v>117</v>
      </c>
      <c r="AE20" t="s">
        <v>69</v>
      </c>
      <c r="AF20">
        <v>149.208</v>
      </c>
      <c r="AG20" t="s">
        <v>69</v>
      </c>
      <c r="AH20" t="s">
        <v>69</v>
      </c>
      <c r="AI20">
        <v>177</v>
      </c>
      <c r="AJ20" t="s">
        <v>72</v>
      </c>
      <c r="AK20" t="s">
        <v>69</v>
      </c>
      <c r="AL20" t="s">
        <v>71</v>
      </c>
      <c r="AM20" t="s">
        <v>69</v>
      </c>
      <c r="AN20">
        <v>131.17500000000001</v>
      </c>
      <c r="AO20" t="s">
        <v>69</v>
      </c>
      <c r="AP20" t="s">
        <v>69</v>
      </c>
    </row>
    <row r="21" spans="1:42" x14ac:dyDescent="0.25">
      <c r="A21">
        <v>7</v>
      </c>
      <c r="B21" t="str">
        <f>HYPERLINK("http://www.ncbi.nlm.nih.gov/protein/XP_025866243.1","XP_025866243.1")</f>
        <v>XP_025866243.1</v>
      </c>
      <c r="C21">
        <v>38435</v>
      </c>
      <c r="D21" t="str">
        <f>HYPERLINK("http://www.ncbi.nlm.nih.gov/Taxonomy/Browser/wwwtax.cgi?mode=Info&amp;id=9627&amp;lvl=3&amp;lin=f&amp;keep=1&amp;srchmode=1&amp;unlock","9627")</f>
        <v>9627</v>
      </c>
      <c r="E21" t="s">
        <v>66</v>
      </c>
      <c r="F21" t="str">
        <f>HYPERLINK("http://www.ncbi.nlm.nih.gov/Taxonomy/Browser/wwwtax.cgi?mode=Info&amp;id=9627&amp;lvl=3&amp;lin=f&amp;keep=1&amp;srchmode=1&amp;unlock","Vulpes vulpes")</f>
        <v>Vulpes vulpes</v>
      </c>
      <c r="G21" t="s">
        <v>95</v>
      </c>
      <c r="H21" t="str">
        <f>HYPERLINK("http://www.ncbi.nlm.nih.gov/protein/XP_025866243.1","40S ribosomal protein S3")</f>
        <v>40S ribosomal protein S3</v>
      </c>
      <c r="I21" t="s">
        <v>68</v>
      </c>
      <c r="J21" t="s">
        <v>69</v>
      </c>
      <c r="K21">
        <v>115</v>
      </c>
      <c r="L21" t="s">
        <v>115</v>
      </c>
      <c r="M21" t="s">
        <v>69</v>
      </c>
      <c r="N21" t="s">
        <v>71</v>
      </c>
      <c r="O21" t="s">
        <v>69</v>
      </c>
      <c r="P21">
        <v>117.148</v>
      </c>
      <c r="Q21" t="s">
        <v>69</v>
      </c>
      <c r="R21" t="s">
        <v>69</v>
      </c>
      <c r="S21">
        <v>142</v>
      </c>
      <c r="T21" t="s">
        <v>72</v>
      </c>
      <c r="U21" t="s">
        <v>69</v>
      </c>
      <c r="V21" t="s">
        <v>71</v>
      </c>
      <c r="W21" t="s">
        <v>69</v>
      </c>
      <c r="X21">
        <v>131.17500000000001</v>
      </c>
      <c r="Y21" t="s">
        <v>69</v>
      </c>
      <c r="Z21" t="s">
        <v>69</v>
      </c>
      <c r="AA21">
        <v>150</v>
      </c>
      <c r="AB21" t="s">
        <v>116</v>
      </c>
      <c r="AC21" t="s">
        <v>69</v>
      </c>
      <c r="AD21" t="s">
        <v>117</v>
      </c>
      <c r="AE21" t="s">
        <v>69</v>
      </c>
      <c r="AF21">
        <v>149.208</v>
      </c>
      <c r="AG21" t="s">
        <v>69</v>
      </c>
      <c r="AH21" t="s">
        <v>69</v>
      </c>
      <c r="AI21">
        <v>177</v>
      </c>
      <c r="AJ21" t="s">
        <v>72</v>
      </c>
      <c r="AK21" t="s">
        <v>69</v>
      </c>
      <c r="AL21" t="s">
        <v>71</v>
      </c>
      <c r="AM21" t="s">
        <v>69</v>
      </c>
      <c r="AN21">
        <v>131.17500000000001</v>
      </c>
      <c r="AO21" t="s">
        <v>69</v>
      </c>
      <c r="AP21" t="s">
        <v>69</v>
      </c>
    </row>
    <row r="22" spans="1:42" x14ac:dyDescent="0.25">
      <c r="A22">
        <v>7</v>
      </c>
      <c r="B22" t="str">
        <f>HYPERLINK("http://www.ncbi.nlm.nih.gov/protein/XP_044114453.1","XP_044114453.1")</f>
        <v>XP_044114453.1</v>
      </c>
      <c r="C22">
        <v>44640</v>
      </c>
      <c r="D22" t="str">
        <f>HYPERLINK("http://www.ncbi.nlm.nih.gov/Taxonomy/Browser/wwwtax.cgi?mode=Info&amp;id=452646&amp;lvl=3&amp;lin=f&amp;keep=1&amp;srchmode=1&amp;unlock","452646")</f>
        <v>452646</v>
      </c>
      <c r="E22" t="s">
        <v>66</v>
      </c>
      <c r="F22" t="str">
        <f>HYPERLINK("http://www.ncbi.nlm.nih.gov/Taxonomy/Browser/wwwtax.cgi?mode=Info&amp;id=452646&amp;lvl=3&amp;lin=f&amp;keep=1&amp;srchmode=1&amp;unlock","Neogale vison")</f>
        <v>Neogale vison</v>
      </c>
      <c r="G22" t="s">
        <v>96</v>
      </c>
      <c r="H22" t="str">
        <f>HYPERLINK("http://www.ncbi.nlm.nih.gov/protein/XP_044114453.1","40S ribosomal protein S3")</f>
        <v>40S ribosomal protein S3</v>
      </c>
      <c r="I22" t="s">
        <v>68</v>
      </c>
      <c r="J22" t="s">
        <v>69</v>
      </c>
      <c r="K22">
        <v>115</v>
      </c>
      <c r="L22" t="s">
        <v>115</v>
      </c>
      <c r="M22" t="s">
        <v>69</v>
      </c>
      <c r="N22" t="s">
        <v>71</v>
      </c>
      <c r="O22" t="s">
        <v>69</v>
      </c>
      <c r="P22">
        <v>117.148</v>
      </c>
      <c r="Q22" t="s">
        <v>69</v>
      </c>
      <c r="R22" t="s">
        <v>69</v>
      </c>
      <c r="S22">
        <v>142</v>
      </c>
      <c r="T22" t="s">
        <v>72</v>
      </c>
      <c r="U22" t="s">
        <v>69</v>
      </c>
      <c r="V22" t="s">
        <v>71</v>
      </c>
      <c r="W22" t="s">
        <v>69</v>
      </c>
      <c r="X22">
        <v>131.17500000000001</v>
      </c>
      <c r="Y22" t="s">
        <v>69</v>
      </c>
      <c r="Z22" t="s">
        <v>69</v>
      </c>
      <c r="AA22">
        <v>150</v>
      </c>
      <c r="AB22" t="s">
        <v>116</v>
      </c>
      <c r="AC22" t="s">
        <v>69</v>
      </c>
      <c r="AD22" t="s">
        <v>117</v>
      </c>
      <c r="AE22" t="s">
        <v>69</v>
      </c>
      <c r="AF22">
        <v>149.208</v>
      </c>
      <c r="AG22" t="s">
        <v>69</v>
      </c>
      <c r="AH22" t="s">
        <v>69</v>
      </c>
      <c r="AI22">
        <v>177</v>
      </c>
      <c r="AJ22" t="s">
        <v>72</v>
      </c>
      <c r="AK22" t="s">
        <v>69</v>
      </c>
      <c r="AL22" t="s">
        <v>71</v>
      </c>
      <c r="AM22" t="s">
        <v>69</v>
      </c>
      <c r="AN22">
        <v>131.17500000000001</v>
      </c>
      <c r="AO22" t="s">
        <v>69</v>
      </c>
      <c r="AP22" t="s">
        <v>69</v>
      </c>
    </row>
    <row r="23" spans="1:42" x14ac:dyDescent="0.25">
      <c r="A23">
        <v>7</v>
      </c>
      <c r="B23" t="str">
        <f>HYPERLINK("http://www.ncbi.nlm.nih.gov/protein/XP_006141067.2","XP_006141067.2")</f>
        <v>XP_006141067.2</v>
      </c>
      <c r="C23">
        <v>59507</v>
      </c>
      <c r="D23" t="str">
        <f>HYPERLINK("http://www.ncbi.nlm.nih.gov/Taxonomy/Browser/wwwtax.cgi?mode=Info&amp;id=246437&amp;lvl=3&amp;lin=f&amp;keep=1&amp;srchmode=1&amp;unlock","246437")</f>
        <v>246437</v>
      </c>
      <c r="E23" t="s">
        <v>66</v>
      </c>
      <c r="F23" t="str">
        <f>HYPERLINK("http://www.ncbi.nlm.nih.gov/Taxonomy/Browser/wwwtax.cgi?mode=Info&amp;id=246437&amp;lvl=3&amp;lin=f&amp;keep=1&amp;srchmode=1&amp;unlock","Tupaia chinensis")</f>
        <v>Tupaia chinensis</v>
      </c>
      <c r="G23" t="s">
        <v>97</v>
      </c>
      <c r="H23" t="str">
        <f>HYPERLINK("http://www.ncbi.nlm.nih.gov/protein/XP_006141067.2","40S ribosomal protein S3")</f>
        <v>40S ribosomal protein S3</v>
      </c>
      <c r="I23" t="s">
        <v>68</v>
      </c>
      <c r="J23" t="s">
        <v>69</v>
      </c>
      <c r="K23">
        <v>115</v>
      </c>
      <c r="L23" t="s">
        <v>115</v>
      </c>
      <c r="M23" t="s">
        <v>69</v>
      </c>
      <c r="N23" t="s">
        <v>71</v>
      </c>
      <c r="O23" t="s">
        <v>69</v>
      </c>
      <c r="P23">
        <v>117.148</v>
      </c>
      <c r="Q23" t="s">
        <v>69</v>
      </c>
      <c r="R23" t="s">
        <v>69</v>
      </c>
      <c r="S23">
        <v>142</v>
      </c>
      <c r="T23" t="s">
        <v>72</v>
      </c>
      <c r="U23" t="s">
        <v>69</v>
      </c>
      <c r="V23" t="s">
        <v>71</v>
      </c>
      <c r="W23" t="s">
        <v>69</v>
      </c>
      <c r="X23">
        <v>131.17500000000001</v>
      </c>
      <c r="Y23" t="s">
        <v>69</v>
      </c>
      <c r="Z23" t="s">
        <v>69</v>
      </c>
      <c r="AA23">
        <v>150</v>
      </c>
      <c r="AB23" t="s">
        <v>116</v>
      </c>
      <c r="AC23" t="s">
        <v>69</v>
      </c>
      <c r="AD23" t="s">
        <v>117</v>
      </c>
      <c r="AE23" t="s">
        <v>69</v>
      </c>
      <c r="AF23">
        <v>149.208</v>
      </c>
      <c r="AG23" t="s">
        <v>69</v>
      </c>
      <c r="AH23" t="s">
        <v>69</v>
      </c>
      <c r="AI23">
        <v>177</v>
      </c>
      <c r="AJ23" t="s">
        <v>72</v>
      </c>
      <c r="AK23" t="s">
        <v>69</v>
      </c>
      <c r="AL23" t="s">
        <v>71</v>
      </c>
      <c r="AM23" t="s">
        <v>69</v>
      </c>
      <c r="AN23">
        <v>131.17500000000001</v>
      </c>
      <c r="AO23" t="s">
        <v>69</v>
      </c>
      <c r="AP23" t="s">
        <v>69</v>
      </c>
    </row>
    <row r="24" spans="1:42" x14ac:dyDescent="0.25">
      <c r="A24">
        <v>7</v>
      </c>
      <c r="B24" t="str">
        <f>HYPERLINK("http://www.ncbi.nlm.nih.gov/protein/XP_004768082.1","XP_004768082.1")</f>
        <v>XP_004768082.1</v>
      </c>
      <c r="C24">
        <v>58003</v>
      </c>
      <c r="D24" t="str">
        <f>HYPERLINK("http://www.ncbi.nlm.nih.gov/Taxonomy/Browser/wwwtax.cgi?mode=Info&amp;id=9669&amp;lvl=3&amp;lin=f&amp;keep=1&amp;srchmode=1&amp;unlock","9669")</f>
        <v>9669</v>
      </c>
      <c r="E24" t="s">
        <v>66</v>
      </c>
      <c r="F24" t="str">
        <f>HYPERLINK("http://www.ncbi.nlm.nih.gov/Taxonomy/Browser/wwwtax.cgi?mode=Info&amp;id=9669&amp;lvl=3&amp;lin=f&amp;keep=1&amp;srchmode=1&amp;unlock","Mustela putorius furo")</f>
        <v>Mustela putorius furo</v>
      </c>
      <c r="G24" t="s">
        <v>98</v>
      </c>
      <c r="H24" t="str">
        <f>HYPERLINK("http://www.ncbi.nlm.nih.gov/protein/XP_004768082.1","40S ribosomal protein S3")</f>
        <v>40S ribosomal protein S3</v>
      </c>
      <c r="I24" t="s">
        <v>68</v>
      </c>
      <c r="J24" t="s">
        <v>69</v>
      </c>
      <c r="K24">
        <v>115</v>
      </c>
      <c r="L24" t="s">
        <v>115</v>
      </c>
      <c r="M24" t="s">
        <v>69</v>
      </c>
      <c r="N24" t="s">
        <v>71</v>
      </c>
      <c r="O24" t="s">
        <v>69</v>
      </c>
      <c r="P24">
        <v>117.148</v>
      </c>
      <c r="Q24" t="s">
        <v>69</v>
      </c>
      <c r="R24" t="s">
        <v>69</v>
      </c>
      <c r="S24">
        <v>142</v>
      </c>
      <c r="T24" t="s">
        <v>72</v>
      </c>
      <c r="U24" t="s">
        <v>69</v>
      </c>
      <c r="V24" t="s">
        <v>71</v>
      </c>
      <c r="W24" t="s">
        <v>69</v>
      </c>
      <c r="X24">
        <v>131.17500000000001</v>
      </c>
      <c r="Y24" t="s">
        <v>69</v>
      </c>
      <c r="Z24" t="s">
        <v>69</v>
      </c>
      <c r="AA24">
        <v>150</v>
      </c>
      <c r="AB24" t="s">
        <v>116</v>
      </c>
      <c r="AC24" t="s">
        <v>69</v>
      </c>
      <c r="AD24" t="s">
        <v>117</v>
      </c>
      <c r="AE24" t="s">
        <v>69</v>
      </c>
      <c r="AF24">
        <v>149.208</v>
      </c>
      <c r="AG24" t="s">
        <v>69</v>
      </c>
      <c r="AH24" t="s">
        <v>69</v>
      </c>
      <c r="AI24">
        <v>177</v>
      </c>
      <c r="AJ24" t="s">
        <v>72</v>
      </c>
      <c r="AK24" t="s">
        <v>69</v>
      </c>
      <c r="AL24" t="s">
        <v>71</v>
      </c>
      <c r="AM24" t="s">
        <v>69</v>
      </c>
      <c r="AN24">
        <v>131.17500000000001</v>
      </c>
      <c r="AO24" t="s">
        <v>69</v>
      </c>
      <c r="AP24" t="s">
        <v>69</v>
      </c>
    </row>
    <row r="25" spans="1:42" x14ac:dyDescent="0.25">
      <c r="A25">
        <v>7</v>
      </c>
      <c r="B25" t="str">
        <f>HYPERLINK("http://www.ncbi.nlm.nih.gov/protein/XP_045835182.1","XP_045835182.1")</f>
        <v>XP_045835182.1</v>
      </c>
      <c r="C25">
        <v>50752</v>
      </c>
      <c r="D25" t="str">
        <f>HYPERLINK("http://www.ncbi.nlm.nih.gov/Taxonomy/Browser/wwwtax.cgi?mode=Info&amp;id=9662&amp;lvl=3&amp;lin=f&amp;keep=1&amp;srchmode=1&amp;unlock","9662")</f>
        <v>9662</v>
      </c>
      <c r="E25" t="s">
        <v>66</v>
      </c>
      <c r="F25" t="str">
        <f>HYPERLINK("http://www.ncbi.nlm.nih.gov/Taxonomy/Browser/wwwtax.cgi?mode=Info&amp;id=9662&amp;lvl=3&amp;lin=f&amp;keep=1&amp;srchmode=1&amp;unlock","Meles meles")</f>
        <v>Meles meles</v>
      </c>
      <c r="G25" t="s">
        <v>99</v>
      </c>
      <c r="H25" t="str">
        <f>HYPERLINK("http://www.ncbi.nlm.nih.gov/protein/XP_045835182.1","40S ribosomal protein S3")</f>
        <v>40S ribosomal protein S3</v>
      </c>
      <c r="I25" t="s">
        <v>68</v>
      </c>
      <c r="J25" t="s">
        <v>69</v>
      </c>
      <c r="K25">
        <v>115</v>
      </c>
      <c r="L25" t="s">
        <v>115</v>
      </c>
      <c r="M25" t="s">
        <v>69</v>
      </c>
      <c r="N25" t="s">
        <v>71</v>
      </c>
      <c r="O25" t="s">
        <v>69</v>
      </c>
      <c r="P25">
        <v>117.148</v>
      </c>
      <c r="Q25" t="s">
        <v>69</v>
      </c>
      <c r="R25" t="s">
        <v>69</v>
      </c>
      <c r="S25">
        <v>142</v>
      </c>
      <c r="T25" t="s">
        <v>72</v>
      </c>
      <c r="U25" t="s">
        <v>69</v>
      </c>
      <c r="V25" t="s">
        <v>71</v>
      </c>
      <c r="W25" t="s">
        <v>69</v>
      </c>
      <c r="X25">
        <v>131.17500000000001</v>
      </c>
      <c r="Y25" t="s">
        <v>69</v>
      </c>
      <c r="Z25" t="s">
        <v>69</v>
      </c>
      <c r="AA25">
        <v>150</v>
      </c>
      <c r="AB25" t="s">
        <v>116</v>
      </c>
      <c r="AC25" t="s">
        <v>69</v>
      </c>
      <c r="AD25" t="s">
        <v>117</v>
      </c>
      <c r="AE25" t="s">
        <v>69</v>
      </c>
      <c r="AF25">
        <v>149.208</v>
      </c>
      <c r="AG25" t="s">
        <v>69</v>
      </c>
      <c r="AH25" t="s">
        <v>69</v>
      </c>
      <c r="AI25">
        <v>177</v>
      </c>
      <c r="AJ25" t="s">
        <v>72</v>
      </c>
      <c r="AK25" t="s">
        <v>69</v>
      </c>
      <c r="AL25" t="s">
        <v>71</v>
      </c>
      <c r="AM25" t="s">
        <v>69</v>
      </c>
      <c r="AN25">
        <v>131.17500000000001</v>
      </c>
      <c r="AO25" t="s">
        <v>69</v>
      </c>
      <c r="AP25" t="s">
        <v>69</v>
      </c>
    </row>
    <row r="26" spans="1:42" x14ac:dyDescent="0.25">
      <c r="A26">
        <v>7</v>
      </c>
      <c r="B26" t="str">
        <f>HYPERLINK("http://www.ncbi.nlm.nih.gov/protein/XP_017497881.1","XP_017497881.1")</f>
        <v>XP_017497881.1</v>
      </c>
      <c r="C26">
        <v>56064</v>
      </c>
      <c r="D26" t="str">
        <f>HYPERLINK("http://www.ncbi.nlm.nih.gov/Taxonomy/Browser/wwwtax.cgi?mode=Info&amp;id=9974&amp;lvl=3&amp;lin=f&amp;keep=1&amp;srchmode=1&amp;unlock","9974")</f>
        <v>9974</v>
      </c>
      <c r="E26" t="s">
        <v>66</v>
      </c>
      <c r="F26" t="str">
        <f>HYPERLINK("http://www.ncbi.nlm.nih.gov/Taxonomy/Browser/wwwtax.cgi?mode=Info&amp;id=9974&amp;lvl=3&amp;lin=f&amp;keep=1&amp;srchmode=1&amp;unlock","Manis javanica")</f>
        <v>Manis javanica</v>
      </c>
      <c r="G26" t="s">
        <v>100</v>
      </c>
      <c r="H26" t="str">
        <f>HYPERLINK("http://www.ncbi.nlm.nih.gov/protein/XP_017497881.1","40S ribosomal protein S3 isoform X1")</f>
        <v>40S ribosomal protein S3 isoform X1</v>
      </c>
      <c r="I26" t="s">
        <v>68</v>
      </c>
      <c r="J26" t="s">
        <v>69</v>
      </c>
      <c r="K26">
        <v>115</v>
      </c>
      <c r="L26" t="s">
        <v>115</v>
      </c>
      <c r="M26" t="s">
        <v>69</v>
      </c>
      <c r="N26" t="s">
        <v>71</v>
      </c>
      <c r="O26" t="s">
        <v>69</v>
      </c>
      <c r="P26">
        <v>117.148</v>
      </c>
      <c r="Q26" t="s">
        <v>69</v>
      </c>
      <c r="R26" t="s">
        <v>69</v>
      </c>
      <c r="S26">
        <v>142</v>
      </c>
      <c r="T26" t="s">
        <v>72</v>
      </c>
      <c r="U26" t="s">
        <v>69</v>
      </c>
      <c r="V26" t="s">
        <v>71</v>
      </c>
      <c r="W26" t="s">
        <v>69</v>
      </c>
      <c r="X26">
        <v>131.17500000000001</v>
      </c>
      <c r="Y26" t="s">
        <v>69</v>
      </c>
      <c r="Z26" t="s">
        <v>69</v>
      </c>
      <c r="AA26">
        <v>150</v>
      </c>
      <c r="AB26" t="s">
        <v>116</v>
      </c>
      <c r="AC26" t="s">
        <v>69</v>
      </c>
      <c r="AD26" t="s">
        <v>117</v>
      </c>
      <c r="AE26" t="s">
        <v>69</v>
      </c>
      <c r="AF26">
        <v>149.208</v>
      </c>
      <c r="AG26" t="s">
        <v>69</v>
      </c>
      <c r="AH26" t="s">
        <v>69</v>
      </c>
      <c r="AI26">
        <v>177</v>
      </c>
      <c r="AJ26" t="s">
        <v>72</v>
      </c>
      <c r="AK26" t="s">
        <v>69</v>
      </c>
      <c r="AL26" t="s">
        <v>71</v>
      </c>
      <c r="AM26" t="s">
        <v>69</v>
      </c>
      <c r="AN26">
        <v>131.17500000000001</v>
      </c>
      <c r="AO26" t="s">
        <v>69</v>
      </c>
      <c r="AP26" t="s">
        <v>69</v>
      </c>
    </row>
    <row r="27" spans="1:42" x14ac:dyDescent="0.25">
      <c r="A27">
        <v>7</v>
      </c>
      <c r="B27" t="str">
        <f>HYPERLINK("http://www.ncbi.nlm.nih.gov/protein/MBZ3873101.1","MBZ3873101.1")</f>
        <v>MBZ3873101.1</v>
      </c>
      <c r="C27">
        <v>74939</v>
      </c>
      <c r="D27" t="str">
        <f>HYPERLINK("http://www.ncbi.nlm.nih.gov/Taxonomy/Browser/wwwtax.cgi?mode=Info&amp;id=30640&amp;lvl=3&amp;lin=f&amp;keep=1&amp;srchmode=1&amp;unlock","30640")</f>
        <v>30640</v>
      </c>
      <c r="E27" t="s">
        <v>66</v>
      </c>
      <c r="F27" t="str">
        <f>HYPERLINK("http://www.ncbi.nlm.nih.gov/Taxonomy/Browser/wwwtax.cgi?mode=Info&amp;id=30640&amp;lvl=3&amp;lin=f&amp;keep=1&amp;srchmode=1&amp;unlock","Neosciurus carolinensis")</f>
        <v>Neosciurus carolinensis</v>
      </c>
      <c r="G27" t="s">
        <v>101</v>
      </c>
      <c r="H27" t="str">
        <f>HYPERLINK("http://www.ncbi.nlm.nih.gov/protein/MBZ3873101.1","40S ribosomal protein S3")</f>
        <v>40S ribosomal protein S3</v>
      </c>
      <c r="I27" t="s">
        <v>68</v>
      </c>
      <c r="J27" t="s">
        <v>69</v>
      </c>
      <c r="K27">
        <v>115</v>
      </c>
      <c r="L27" t="s">
        <v>115</v>
      </c>
      <c r="M27" t="s">
        <v>69</v>
      </c>
      <c r="N27" t="s">
        <v>71</v>
      </c>
      <c r="O27" t="s">
        <v>69</v>
      </c>
      <c r="P27">
        <v>117.148</v>
      </c>
      <c r="Q27" t="s">
        <v>69</v>
      </c>
      <c r="R27" t="s">
        <v>69</v>
      </c>
      <c r="S27">
        <v>142</v>
      </c>
      <c r="T27" t="s">
        <v>72</v>
      </c>
      <c r="U27" t="s">
        <v>69</v>
      </c>
      <c r="V27" t="s">
        <v>71</v>
      </c>
      <c r="W27" t="s">
        <v>69</v>
      </c>
      <c r="X27">
        <v>131.17500000000001</v>
      </c>
      <c r="Y27" t="s">
        <v>69</v>
      </c>
      <c r="Z27" t="s">
        <v>69</v>
      </c>
      <c r="AA27">
        <v>150</v>
      </c>
      <c r="AB27" t="s">
        <v>116</v>
      </c>
      <c r="AC27" t="s">
        <v>69</v>
      </c>
      <c r="AD27" t="s">
        <v>117</v>
      </c>
      <c r="AE27" t="s">
        <v>69</v>
      </c>
      <c r="AF27">
        <v>149.208</v>
      </c>
      <c r="AG27" t="s">
        <v>69</v>
      </c>
      <c r="AH27" t="s">
        <v>69</v>
      </c>
      <c r="AI27">
        <v>177</v>
      </c>
      <c r="AJ27" t="s">
        <v>72</v>
      </c>
      <c r="AK27" t="s">
        <v>69</v>
      </c>
      <c r="AL27" t="s">
        <v>71</v>
      </c>
      <c r="AM27" t="s">
        <v>69</v>
      </c>
      <c r="AN27">
        <v>131.17500000000001</v>
      </c>
      <c r="AO27" t="s">
        <v>69</v>
      </c>
      <c r="AP27" t="s">
        <v>69</v>
      </c>
    </row>
    <row r="28" spans="1:42" x14ac:dyDescent="0.25">
      <c r="A28">
        <v>7</v>
      </c>
      <c r="B28" t="str">
        <f>HYPERLINK("http://www.ncbi.nlm.nih.gov/protein/NP_001009239.1","NP_001009239.1")</f>
        <v>NP_001009239.1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HYPERLINK("http://www.ncbi.nlm.nih.gov/protein/NP_001009239.1","40S ribosomal protein S3")</f>
        <v>40S ribosomal protein S3</v>
      </c>
      <c r="I28" t="s">
        <v>68</v>
      </c>
      <c r="J28" t="s">
        <v>69</v>
      </c>
      <c r="K28">
        <v>115</v>
      </c>
      <c r="L28" t="s">
        <v>115</v>
      </c>
      <c r="M28" t="s">
        <v>69</v>
      </c>
      <c r="N28" t="s">
        <v>71</v>
      </c>
      <c r="O28" t="s">
        <v>69</v>
      </c>
      <c r="P28">
        <v>117.148</v>
      </c>
      <c r="Q28" t="s">
        <v>69</v>
      </c>
      <c r="R28" t="s">
        <v>69</v>
      </c>
      <c r="S28">
        <v>142</v>
      </c>
      <c r="T28" t="s">
        <v>72</v>
      </c>
      <c r="U28" t="s">
        <v>69</v>
      </c>
      <c r="V28" t="s">
        <v>71</v>
      </c>
      <c r="W28" t="s">
        <v>69</v>
      </c>
      <c r="X28">
        <v>131.17500000000001</v>
      </c>
      <c r="Y28" t="s">
        <v>69</v>
      </c>
      <c r="Z28" t="s">
        <v>69</v>
      </c>
      <c r="AA28">
        <v>150</v>
      </c>
      <c r="AB28" t="s">
        <v>116</v>
      </c>
      <c r="AC28" t="s">
        <v>69</v>
      </c>
      <c r="AD28" t="s">
        <v>117</v>
      </c>
      <c r="AE28" t="s">
        <v>69</v>
      </c>
      <c r="AF28">
        <v>149.208</v>
      </c>
      <c r="AG28" t="s">
        <v>69</v>
      </c>
      <c r="AH28" t="s">
        <v>69</v>
      </c>
      <c r="AI28">
        <v>177</v>
      </c>
      <c r="AJ28" t="s">
        <v>72</v>
      </c>
      <c r="AK28" t="s">
        <v>69</v>
      </c>
      <c r="AL28" t="s">
        <v>71</v>
      </c>
      <c r="AM28" t="s">
        <v>69</v>
      </c>
      <c r="AN28">
        <v>131.17500000000001</v>
      </c>
      <c r="AO28" t="s">
        <v>69</v>
      </c>
      <c r="AP28" t="s">
        <v>69</v>
      </c>
    </row>
    <row r="29" spans="1:42" x14ac:dyDescent="0.25">
      <c r="A29">
        <v>7</v>
      </c>
      <c r="B29" t="str">
        <f>HYPERLINK("http://www.ncbi.nlm.nih.gov/protein/XP_016017076.1","XP_016017076.1")</f>
        <v>XP_016017076.1</v>
      </c>
      <c r="C29">
        <v>117142</v>
      </c>
      <c r="D29" t="str">
        <f>HYPERLINK("http://www.ncbi.nlm.nih.gov/Taxonomy/Browser/wwwtax.cgi?mode=Info&amp;id=9407&amp;lvl=3&amp;lin=f&amp;keep=1&amp;srchmode=1&amp;unlock","9407")</f>
        <v>9407</v>
      </c>
      <c r="E29" t="s">
        <v>66</v>
      </c>
      <c r="F29" t="str">
        <f>HYPERLINK("http://www.ncbi.nlm.nih.gov/Taxonomy/Browser/wwwtax.cgi?mode=Info&amp;id=9407&amp;lvl=3&amp;lin=f&amp;keep=1&amp;srchmode=1&amp;unlock","Rousettus aegyptiacus")</f>
        <v>Rousettus aegyptiacus</v>
      </c>
      <c r="G29" t="s">
        <v>103</v>
      </c>
      <c r="H29" t="str">
        <f>HYPERLINK("http://www.ncbi.nlm.nih.gov/protein/XP_016017076.1","40S ribosomal protein S3")</f>
        <v>40S ribosomal protein S3</v>
      </c>
      <c r="I29" t="s">
        <v>68</v>
      </c>
      <c r="J29" t="s">
        <v>69</v>
      </c>
      <c r="K29">
        <v>115</v>
      </c>
      <c r="L29" t="s">
        <v>115</v>
      </c>
      <c r="M29" t="s">
        <v>69</v>
      </c>
      <c r="N29" t="s">
        <v>71</v>
      </c>
      <c r="O29" t="s">
        <v>69</v>
      </c>
      <c r="P29">
        <v>117.148</v>
      </c>
      <c r="Q29" t="s">
        <v>69</v>
      </c>
      <c r="R29" t="s">
        <v>69</v>
      </c>
      <c r="S29">
        <v>142</v>
      </c>
      <c r="T29" t="s">
        <v>72</v>
      </c>
      <c r="U29" t="s">
        <v>69</v>
      </c>
      <c r="V29" t="s">
        <v>71</v>
      </c>
      <c r="W29" t="s">
        <v>69</v>
      </c>
      <c r="X29">
        <v>131.17500000000001</v>
      </c>
      <c r="Y29" t="s">
        <v>69</v>
      </c>
      <c r="Z29" t="s">
        <v>69</v>
      </c>
      <c r="AA29">
        <v>150</v>
      </c>
      <c r="AB29" t="s">
        <v>116</v>
      </c>
      <c r="AC29" t="s">
        <v>69</v>
      </c>
      <c r="AD29" t="s">
        <v>117</v>
      </c>
      <c r="AE29" t="s">
        <v>69</v>
      </c>
      <c r="AF29">
        <v>149.208</v>
      </c>
      <c r="AG29" t="s">
        <v>69</v>
      </c>
      <c r="AH29" t="s">
        <v>69</v>
      </c>
      <c r="AI29">
        <v>177</v>
      </c>
      <c r="AJ29" t="s">
        <v>72</v>
      </c>
      <c r="AK29" t="s">
        <v>69</v>
      </c>
      <c r="AL29" t="s">
        <v>71</v>
      </c>
      <c r="AM29" t="s">
        <v>69</v>
      </c>
      <c r="AN29">
        <v>131.17500000000001</v>
      </c>
      <c r="AO29" t="s">
        <v>69</v>
      </c>
      <c r="AP29" t="s">
        <v>69</v>
      </c>
    </row>
    <row r="30" spans="1:42" x14ac:dyDescent="0.25">
      <c r="A30">
        <v>7</v>
      </c>
      <c r="B30" t="str">
        <f>HYPERLINK("http://www.ncbi.nlm.nih.gov/protein/NP_036182.1","NP_036182.1")</f>
        <v>NP_036182.1</v>
      </c>
      <c r="C30">
        <v>337449</v>
      </c>
      <c r="D30" t="str">
        <f>HYPERLINK("http://www.ncbi.nlm.nih.gov/Taxonomy/Browser/wwwtax.cgi?mode=Info&amp;id=10090&amp;lvl=3&amp;lin=f&amp;keep=1&amp;srchmode=1&amp;unlock","10090")</f>
        <v>10090</v>
      </c>
      <c r="E30" t="s">
        <v>66</v>
      </c>
      <c r="F30" t="str">
        <f>HYPERLINK("http://www.ncbi.nlm.nih.gov/Taxonomy/Browser/wwwtax.cgi?mode=Info&amp;id=10090&amp;lvl=3&amp;lin=f&amp;keep=1&amp;srchmode=1&amp;unlock","Mus musculus")</f>
        <v>Mus musculus</v>
      </c>
      <c r="G30" t="s">
        <v>104</v>
      </c>
      <c r="H30" t="str">
        <f>HYPERLINK("http://www.ncbi.nlm.nih.gov/protein/NP_036182.1","40S ribosomal protein S3")</f>
        <v>40S ribosomal protein S3</v>
      </c>
      <c r="I30" t="s">
        <v>68</v>
      </c>
      <c r="J30" t="s">
        <v>69</v>
      </c>
      <c r="K30">
        <v>115</v>
      </c>
      <c r="L30" t="s">
        <v>115</v>
      </c>
      <c r="M30" t="s">
        <v>69</v>
      </c>
      <c r="N30" t="s">
        <v>71</v>
      </c>
      <c r="O30" t="s">
        <v>69</v>
      </c>
      <c r="P30">
        <v>117.148</v>
      </c>
      <c r="Q30" t="s">
        <v>69</v>
      </c>
      <c r="R30" t="s">
        <v>69</v>
      </c>
      <c r="S30">
        <v>142</v>
      </c>
      <c r="T30" t="s">
        <v>72</v>
      </c>
      <c r="U30" t="s">
        <v>69</v>
      </c>
      <c r="V30" t="s">
        <v>71</v>
      </c>
      <c r="W30" t="s">
        <v>69</v>
      </c>
      <c r="X30">
        <v>131.17500000000001</v>
      </c>
      <c r="Y30" t="s">
        <v>69</v>
      </c>
      <c r="Z30" t="s">
        <v>69</v>
      </c>
      <c r="AA30">
        <v>150</v>
      </c>
      <c r="AB30" t="s">
        <v>116</v>
      </c>
      <c r="AC30" t="s">
        <v>69</v>
      </c>
      <c r="AD30" t="s">
        <v>117</v>
      </c>
      <c r="AE30" t="s">
        <v>69</v>
      </c>
      <c r="AF30">
        <v>149.208</v>
      </c>
      <c r="AG30" t="s">
        <v>69</v>
      </c>
      <c r="AH30" t="s">
        <v>69</v>
      </c>
      <c r="AI30">
        <v>177</v>
      </c>
      <c r="AJ30" t="s">
        <v>72</v>
      </c>
      <c r="AK30" t="s">
        <v>69</v>
      </c>
      <c r="AL30" t="s">
        <v>71</v>
      </c>
      <c r="AM30" t="s">
        <v>69</v>
      </c>
      <c r="AN30">
        <v>131.17500000000001</v>
      </c>
      <c r="AO30" t="s">
        <v>69</v>
      </c>
      <c r="AP30" t="s">
        <v>69</v>
      </c>
    </row>
    <row r="31" spans="1:42" x14ac:dyDescent="0.25">
      <c r="A31">
        <v>7</v>
      </c>
      <c r="B31" t="str">
        <f>HYPERLINK("http://www.ncbi.nlm.nih.gov/protein/XP_030187663.1","XP_030187663.1")</f>
        <v>XP_030187663.1</v>
      </c>
      <c r="C31">
        <v>42175</v>
      </c>
      <c r="D31" t="str">
        <f>HYPERLINK("http://www.ncbi.nlm.nih.gov/Taxonomy/Browser/wwwtax.cgi?mode=Info&amp;id=61383&amp;lvl=3&amp;lin=f&amp;keep=1&amp;srchmode=1&amp;unlock","61383")</f>
        <v>61383</v>
      </c>
      <c r="E31" t="s">
        <v>66</v>
      </c>
      <c r="F31" t="str">
        <f>HYPERLINK("http://www.ncbi.nlm.nih.gov/Taxonomy/Browser/wwwtax.cgi?mode=Info&amp;id=61383&amp;lvl=3&amp;lin=f&amp;keep=1&amp;srchmode=1&amp;unlock","Lynx canadensis")</f>
        <v>Lynx canadensis</v>
      </c>
      <c r="G31" t="s">
        <v>105</v>
      </c>
      <c r="H31" t="str">
        <f>HYPERLINK("http://www.ncbi.nlm.nih.gov/protein/XP_030187663.1","40S ribosomal protein S3")</f>
        <v>40S ribosomal protein S3</v>
      </c>
      <c r="I31" t="s">
        <v>68</v>
      </c>
      <c r="J31" t="s">
        <v>69</v>
      </c>
      <c r="K31">
        <v>115</v>
      </c>
      <c r="L31" t="s">
        <v>115</v>
      </c>
      <c r="M31" t="s">
        <v>69</v>
      </c>
      <c r="N31" t="s">
        <v>71</v>
      </c>
      <c r="O31" t="s">
        <v>69</v>
      </c>
      <c r="P31">
        <v>117.148</v>
      </c>
      <c r="Q31" t="s">
        <v>69</v>
      </c>
      <c r="R31" t="s">
        <v>69</v>
      </c>
      <c r="S31">
        <v>142</v>
      </c>
      <c r="T31" t="s">
        <v>72</v>
      </c>
      <c r="U31" t="s">
        <v>69</v>
      </c>
      <c r="V31" t="s">
        <v>71</v>
      </c>
      <c r="W31" t="s">
        <v>69</v>
      </c>
      <c r="X31">
        <v>131.17500000000001</v>
      </c>
      <c r="Y31" t="s">
        <v>69</v>
      </c>
      <c r="Z31" t="s">
        <v>69</v>
      </c>
      <c r="AA31">
        <v>150</v>
      </c>
      <c r="AB31" t="s">
        <v>116</v>
      </c>
      <c r="AC31" t="s">
        <v>69</v>
      </c>
      <c r="AD31" t="s">
        <v>117</v>
      </c>
      <c r="AE31" t="s">
        <v>69</v>
      </c>
      <c r="AF31">
        <v>149.208</v>
      </c>
      <c r="AG31" t="s">
        <v>69</v>
      </c>
      <c r="AH31" t="s">
        <v>69</v>
      </c>
      <c r="AI31">
        <v>177</v>
      </c>
      <c r="AJ31" t="s">
        <v>72</v>
      </c>
      <c r="AK31" t="s">
        <v>69</v>
      </c>
      <c r="AL31" t="s">
        <v>71</v>
      </c>
      <c r="AM31" t="s">
        <v>69</v>
      </c>
      <c r="AN31">
        <v>131.17500000000001</v>
      </c>
      <c r="AO31" t="s">
        <v>69</v>
      </c>
      <c r="AP31" t="s">
        <v>69</v>
      </c>
    </row>
    <row r="32" spans="1:42" x14ac:dyDescent="0.25">
      <c r="A32">
        <v>7</v>
      </c>
      <c r="B32" t="str">
        <f>HYPERLINK("http://www.ncbi.nlm.nih.gov/protein/XP_003734218.2","XP_003734218.2")</f>
        <v>XP_003734218.2</v>
      </c>
      <c r="C32">
        <v>87664</v>
      </c>
      <c r="D32" t="str">
        <f>HYPERLINK("http://www.ncbi.nlm.nih.gov/Taxonomy/Browser/wwwtax.cgi?mode=Info&amp;id=9483&amp;lvl=3&amp;lin=f&amp;keep=1&amp;srchmode=1&amp;unlock","9483")</f>
        <v>9483</v>
      </c>
      <c r="E32" t="s">
        <v>66</v>
      </c>
      <c r="F32" t="str">
        <f>HYPERLINK("http://www.ncbi.nlm.nih.gov/Taxonomy/Browser/wwwtax.cgi?mode=Info&amp;id=9483&amp;lvl=3&amp;lin=f&amp;keep=1&amp;srchmode=1&amp;unlock","Callithrix jacchus")</f>
        <v>Callithrix jacchus</v>
      </c>
      <c r="G32" t="s">
        <v>106</v>
      </c>
      <c r="H32" t="str">
        <f>HYPERLINK("http://www.ncbi.nlm.nih.gov/protein/XP_003734218.2","40S ribosomal protein S3")</f>
        <v>40S ribosomal protein S3</v>
      </c>
      <c r="I32" t="s">
        <v>68</v>
      </c>
      <c r="J32" t="s">
        <v>69</v>
      </c>
      <c r="K32">
        <v>154</v>
      </c>
      <c r="L32" t="s">
        <v>115</v>
      </c>
      <c r="M32" t="s">
        <v>69</v>
      </c>
      <c r="N32" t="s">
        <v>71</v>
      </c>
      <c r="O32" t="s">
        <v>69</v>
      </c>
      <c r="P32">
        <v>117.148</v>
      </c>
      <c r="Q32" t="s">
        <v>69</v>
      </c>
      <c r="R32" t="s">
        <v>69</v>
      </c>
      <c r="S32">
        <v>181</v>
      </c>
      <c r="T32" t="s">
        <v>72</v>
      </c>
      <c r="U32" t="s">
        <v>69</v>
      </c>
      <c r="V32" t="s">
        <v>71</v>
      </c>
      <c r="W32" t="s">
        <v>69</v>
      </c>
      <c r="X32">
        <v>131.17500000000001</v>
      </c>
      <c r="Y32" t="s">
        <v>69</v>
      </c>
      <c r="Z32" t="s">
        <v>69</v>
      </c>
      <c r="AA32">
        <v>189</v>
      </c>
      <c r="AB32" t="s">
        <v>116</v>
      </c>
      <c r="AC32" t="s">
        <v>69</v>
      </c>
      <c r="AD32" t="s">
        <v>117</v>
      </c>
      <c r="AE32" t="s">
        <v>69</v>
      </c>
      <c r="AF32">
        <v>149.208</v>
      </c>
      <c r="AG32" t="s">
        <v>69</v>
      </c>
      <c r="AH32" t="s">
        <v>69</v>
      </c>
      <c r="AI32">
        <v>216</v>
      </c>
      <c r="AJ32" t="s">
        <v>72</v>
      </c>
      <c r="AK32" t="s">
        <v>69</v>
      </c>
      <c r="AL32" t="s">
        <v>71</v>
      </c>
      <c r="AM32" t="s">
        <v>69</v>
      </c>
      <c r="AN32">
        <v>131.17500000000001</v>
      </c>
      <c r="AO32" t="s">
        <v>69</v>
      </c>
      <c r="AP32" t="s">
        <v>69</v>
      </c>
    </row>
    <row r="33" spans="1:42" x14ac:dyDescent="0.25">
      <c r="A33">
        <v>7</v>
      </c>
      <c r="B33" t="str">
        <f>HYPERLINK("http://www.ncbi.nlm.nih.gov/protein/XP_005500667.1","XP_005500667.1")</f>
        <v>XP_005500667.1</v>
      </c>
      <c r="C33">
        <v>50957</v>
      </c>
      <c r="D33" t="str">
        <f>HYPERLINK("http://www.ncbi.nlm.nih.gov/Taxonomy/Browser/wwwtax.cgi?mode=Info&amp;id=8932&amp;lvl=3&amp;lin=f&amp;keep=1&amp;srchmode=1&amp;unlock","8932")</f>
        <v>8932</v>
      </c>
      <c r="E33" t="s">
        <v>107</v>
      </c>
      <c r="F33" t="str">
        <f>HYPERLINK("http://www.ncbi.nlm.nih.gov/Taxonomy/Browser/wwwtax.cgi?mode=Info&amp;id=8932&amp;lvl=3&amp;lin=f&amp;keep=1&amp;srchmode=1&amp;unlock","Columba livia")</f>
        <v>Columba livia</v>
      </c>
      <c r="G33" t="s">
        <v>108</v>
      </c>
      <c r="H33" t="str">
        <f>HYPERLINK("http://www.ncbi.nlm.nih.gov/protein/XP_005500667.1","40S ribosomal protein S3")</f>
        <v>40S ribosomal protein S3</v>
      </c>
      <c r="I33" t="s">
        <v>68</v>
      </c>
      <c r="J33" t="s">
        <v>69</v>
      </c>
      <c r="K33">
        <v>115</v>
      </c>
      <c r="L33" t="s">
        <v>115</v>
      </c>
      <c r="M33" t="s">
        <v>69</v>
      </c>
      <c r="N33" t="s">
        <v>71</v>
      </c>
      <c r="O33" t="s">
        <v>69</v>
      </c>
      <c r="P33">
        <v>117.148</v>
      </c>
      <c r="Q33" t="s">
        <v>69</v>
      </c>
      <c r="R33" t="s">
        <v>69</v>
      </c>
      <c r="S33">
        <v>142</v>
      </c>
      <c r="T33" t="s">
        <v>72</v>
      </c>
      <c r="U33" t="s">
        <v>69</v>
      </c>
      <c r="V33" t="s">
        <v>71</v>
      </c>
      <c r="W33" t="s">
        <v>69</v>
      </c>
      <c r="X33">
        <v>131.17500000000001</v>
      </c>
      <c r="Y33" t="s">
        <v>69</v>
      </c>
      <c r="Z33" t="s">
        <v>69</v>
      </c>
      <c r="AA33">
        <v>150</v>
      </c>
      <c r="AB33" t="s">
        <v>116</v>
      </c>
      <c r="AC33" t="s">
        <v>69</v>
      </c>
      <c r="AD33" t="s">
        <v>117</v>
      </c>
      <c r="AE33" t="s">
        <v>69</v>
      </c>
      <c r="AF33">
        <v>149.208</v>
      </c>
      <c r="AG33" t="s">
        <v>69</v>
      </c>
      <c r="AH33" t="s">
        <v>69</v>
      </c>
      <c r="AI33">
        <v>177</v>
      </c>
      <c r="AJ33" t="s">
        <v>72</v>
      </c>
      <c r="AK33" t="s">
        <v>69</v>
      </c>
      <c r="AL33" t="s">
        <v>71</v>
      </c>
      <c r="AM33" t="s">
        <v>69</v>
      </c>
      <c r="AN33">
        <v>131.17500000000001</v>
      </c>
      <c r="AO33" t="s">
        <v>69</v>
      </c>
      <c r="AP33" t="s">
        <v>69</v>
      </c>
    </row>
    <row r="34" spans="1:42" x14ac:dyDescent="0.25">
      <c r="A34">
        <v>7</v>
      </c>
      <c r="B34" t="str">
        <f>HYPERLINK("http://www.ncbi.nlm.nih.gov/protein/XP_006022031.1","XP_006022031.1")</f>
        <v>XP_006022031.1</v>
      </c>
      <c r="C34">
        <v>43404</v>
      </c>
      <c r="D34" t="str">
        <f>HYPERLINK("http://www.ncbi.nlm.nih.gov/Taxonomy/Browser/wwwtax.cgi?mode=Info&amp;id=38654&amp;lvl=3&amp;lin=f&amp;keep=1&amp;srchmode=1&amp;unlock","38654")</f>
        <v>38654</v>
      </c>
      <c r="E34" t="s">
        <v>109</v>
      </c>
      <c r="F34" t="str">
        <f>HYPERLINK("http://www.ncbi.nlm.nih.gov/Taxonomy/Browser/wwwtax.cgi?mode=Info&amp;id=38654&amp;lvl=3&amp;lin=f&amp;keep=1&amp;srchmode=1&amp;unlock","Alligator sinensis")</f>
        <v>Alligator sinensis</v>
      </c>
      <c r="G34" t="s">
        <v>110</v>
      </c>
      <c r="H34" t="str">
        <f>HYPERLINK("http://www.ncbi.nlm.nih.gov/protein/XP_006022031.1","40S ribosomal protein S3")</f>
        <v>40S ribosomal protein S3</v>
      </c>
      <c r="I34" t="s">
        <v>68</v>
      </c>
      <c r="J34" t="s">
        <v>69</v>
      </c>
      <c r="K34">
        <v>115</v>
      </c>
      <c r="L34" t="s">
        <v>115</v>
      </c>
      <c r="M34" t="s">
        <v>69</v>
      </c>
      <c r="N34" t="s">
        <v>71</v>
      </c>
      <c r="O34" t="s">
        <v>69</v>
      </c>
      <c r="P34">
        <v>117.148</v>
      </c>
      <c r="Q34" t="s">
        <v>69</v>
      </c>
      <c r="R34" t="s">
        <v>69</v>
      </c>
      <c r="S34">
        <v>142</v>
      </c>
      <c r="T34" t="s">
        <v>72</v>
      </c>
      <c r="U34" t="s">
        <v>69</v>
      </c>
      <c r="V34" t="s">
        <v>71</v>
      </c>
      <c r="W34" t="s">
        <v>69</v>
      </c>
      <c r="X34">
        <v>131.17500000000001</v>
      </c>
      <c r="Y34" t="s">
        <v>69</v>
      </c>
      <c r="Z34" t="s">
        <v>69</v>
      </c>
      <c r="AA34">
        <v>150</v>
      </c>
      <c r="AB34" t="s">
        <v>116</v>
      </c>
      <c r="AC34" t="s">
        <v>69</v>
      </c>
      <c r="AD34" t="s">
        <v>117</v>
      </c>
      <c r="AE34" t="s">
        <v>69</v>
      </c>
      <c r="AF34">
        <v>149.208</v>
      </c>
      <c r="AG34" t="s">
        <v>69</v>
      </c>
      <c r="AH34" t="s">
        <v>69</v>
      </c>
      <c r="AI34">
        <v>177</v>
      </c>
      <c r="AJ34" t="s">
        <v>72</v>
      </c>
      <c r="AK34" t="s">
        <v>69</v>
      </c>
      <c r="AL34" t="s">
        <v>71</v>
      </c>
      <c r="AM34" t="s">
        <v>69</v>
      </c>
      <c r="AN34">
        <v>131.17500000000001</v>
      </c>
      <c r="AO34" t="s">
        <v>69</v>
      </c>
      <c r="AP34" t="s">
        <v>69</v>
      </c>
    </row>
    <row r="35" spans="1:42" x14ac:dyDescent="0.25">
      <c r="A35">
        <v>7</v>
      </c>
      <c r="B35" t="str">
        <f>HYPERLINK("http://www.ncbi.nlm.nih.gov/protein/AAH41299.1","AAH41299.1")</f>
        <v>AAH41299.1</v>
      </c>
      <c r="C35">
        <v>146185</v>
      </c>
      <c r="D35" t="str">
        <f>HYPERLINK("http://www.ncbi.nlm.nih.gov/Taxonomy/Browser/wwwtax.cgi?mode=Info&amp;id=8355&amp;lvl=3&amp;lin=f&amp;keep=1&amp;srchmode=1&amp;unlock","8355")</f>
        <v>8355</v>
      </c>
      <c r="E35" t="s">
        <v>111</v>
      </c>
      <c r="F35" t="str">
        <f>HYPERLINK("http://www.ncbi.nlm.nih.gov/Taxonomy/Browser/wwwtax.cgi?mode=Info&amp;id=8355&amp;lvl=3&amp;lin=f&amp;keep=1&amp;srchmode=1&amp;unlock","Xenopus laevis")</f>
        <v>Xenopus laevis</v>
      </c>
      <c r="G35" t="s">
        <v>112</v>
      </c>
      <c r="H35" t="str">
        <f>HYPERLINK("http://www.ncbi.nlm.nih.gov/protein/AAH41299.1","Rpls3-b protein")</f>
        <v>Rpls3-b protein</v>
      </c>
      <c r="I35" t="s">
        <v>68</v>
      </c>
      <c r="J35" t="s">
        <v>69</v>
      </c>
      <c r="K35">
        <v>115</v>
      </c>
      <c r="L35" t="s">
        <v>115</v>
      </c>
      <c r="M35" t="s">
        <v>69</v>
      </c>
      <c r="N35" t="s">
        <v>71</v>
      </c>
      <c r="O35" t="s">
        <v>69</v>
      </c>
      <c r="P35">
        <v>117.148</v>
      </c>
      <c r="Q35" t="s">
        <v>69</v>
      </c>
      <c r="R35" t="s">
        <v>69</v>
      </c>
      <c r="S35">
        <v>142</v>
      </c>
      <c r="T35" t="s">
        <v>72</v>
      </c>
      <c r="U35" t="s">
        <v>69</v>
      </c>
      <c r="V35" t="s">
        <v>71</v>
      </c>
      <c r="W35" t="s">
        <v>69</v>
      </c>
      <c r="X35">
        <v>131.17500000000001</v>
      </c>
      <c r="Y35" t="s">
        <v>69</v>
      </c>
      <c r="Z35" t="s">
        <v>69</v>
      </c>
      <c r="AA35">
        <v>150</v>
      </c>
      <c r="AB35" t="s">
        <v>116</v>
      </c>
      <c r="AC35" t="s">
        <v>69</v>
      </c>
      <c r="AD35" t="s">
        <v>117</v>
      </c>
      <c r="AE35" t="s">
        <v>69</v>
      </c>
      <c r="AF35">
        <v>149.208</v>
      </c>
      <c r="AG35" t="s">
        <v>69</v>
      </c>
      <c r="AH35" t="s">
        <v>69</v>
      </c>
      <c r="AI35">
        <v>177</v>
      </c>
      <c r="AJ35" t="s">
        <v>72</v>
      </c>
      <c r="AK35" t="s">
        <v>69</v>
      </c>
      <c r="AL35" t="s">
        <v>71</v>
      </c>
      <c r="AM35" t="s">
        <v>69</v>
      </c>
      <c r="AN35">
        <v>131.17500000000001</v>
      </c>
      <c r="AO35" t="s">
        <v>69</v>
      </c>
      <c r="AP35" t="s">
        <v>69</v>
      </c>
    </row>
    <row r="36" spans="1:42" x14ac:dyDescent="0.25">
      <c r="A36">
        <v>7</v>
      </c>
      <c r="B36" t="str">
        <f>HYPERLINK("http://www.ncbi.nlm.nih.gov/protein/XP_039519649.1","XP_039519649.1")</f>
        <v>XP_039519649.1</v>
      </c>
      <c r="C36">
        <v>96114</v>
      </c>
      <c r="D36" t="str">
        <f>HYPERLINK("http://www.ncbi.nlm.nih.gov/Taxonomy/Browser/wwwtax.cgi?mode=Info&amp;id=90988&amp;lvl=3&amp;lin=f&amp;keep=1&amp;srchmode=1&amp;unlock","90988")</f>
        <v>90988</v>
      </c>
      <c r="E36" t="s">
        <v>113</v>
      </c>
      <c r="F36" t="str">
        <f>HYPERLINK("http://www.ncbi.nlm.nih.gov/Taxonomy/Browser/wwwtax.cgi?mode=Info&amp;id=90988&amp;lvl=3&amp;lin=f&amp;keep=1&amp;srchmode=1&amp;unlock","Pimephales promelas")</f>
        <v>Pimephales promelas</v>
      </c>
      <c r="G36" t="s">
        <v>114</v>
      </c>
      <c r="H36" t="str">
        <f>HYPERLINK("http://www.ncbi.nlm.nih.gov/protein/XP_039519649.1","40S ribosomal protein S3")</f>
        <v>40S ribosomal protein S3</v>
      </c>
      <c r="I36" t="s">
        <v>68</v>
      </c>
      <c r="J36" t="s">
        <v>69</v>
      </c>
      <c r="K36">
        <v>115</v>
      </c>
      <c r="L36" t="s">
        <v>115</v>
      </c>
      <c r="M36" t="s">
        <v>69</v>
      </c>
      <c r="N36" t="s">
        <v>71</v>
      </c>
      <c r="O36" t="s">
        <v>69</v>
      </c>
      <c r="P36">
        <v>117.148</v>
      </c>
      <c r="Q36" t="s">
        <v>69</v>
      </c>
      <c r="R36" t="s">
        <v>69</v>
      </c>
      <c r="S36">
        <v>142</v>
      </c>
      <c r="T36" t="s">
        <v>72</v>
      </c>
      <c r="U36" t="s">
        <v>69</v>
      </c>
      <c r="V36" t="s">
        <v>71</v>
      </c>
      <c r="W36" t="s">
        <v>69</v>
      </c>
      <c r="X36">
        <v>131.17500000000001</v>
      </c>
      <c r="Y36" t="s">
        <v>69</v>
      </c>
      <c r="Z36" t="s">
        <v>69</v>
      </c>
      <c r="AA36">
        <v>150</v>
      </c>
      <c r="AB36" t="s">
        <v>116</v>
      </c>
      <c r="AC36" t="s">
        <v>69</v>
      </c>
      <c r="AD36" t="s">
        <v>117</v>
      </c>
      <c r="AE36" t="s">
        <v>69</v>
      </c>
      <c r="AF36">
        <v>149.208</v>
      </c>
      <c r="AG36" t="s">
        <v>69</v>
      </c>
      <c r="AH36" t="s">
        <v>69</v>
      </c>
      <c r="AI36">
        <v>177</v>
      </c>
      <c r="AJ36" t="s">
        <v>72</v>
      </c>
      <c r="AK36" t="s">
        <v>69</v>
      </c>
      <c r="AL36" t="s">
        <v>71</v>
      </c>
      <c r="AM36" t="s">
        <v>69</v>
      </c>
      <c r="AN36">
        <v>131.17500000000001</v>
      </c>
      <c r="AO36" t="s">
        <v>69</v>
      </c>
      <c r="AP36" t="s">
        <v>69</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34"/>
  <sheetViews>
    <sheetView workbookViewId="0"/>
  </sheetViews>
  <sheetFormatPr defaultRowHeight="15" x14ac:dyDescent="0.25"/>
  <cols>
    <col min="8" max="8" width="49.5703125" customWidth="1"/>
  </cols>
  <sheetData>
    <row r="1" spans="1:11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row>
    <row r="2" spans="1:114" x14ac:dyDescent="0.25">
      <c r="A2">
        <v>7</v>
      </c>
      <c r="B2" t="str">
        <f>HYPERLINK("http://www.ncbi.nlm.nih.gov/protein/NP_055635.3","NP_055635.3")</f>
        <v>NP_055635.3</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HYPERLINK("http://www.ncbi.nlm.nih.gov/protein/NP_055635.3","mitochondrial import receptor subunit TOM70")</f>
        <v>mitochondrial import receptor subunit TOM70</v>
      </c>
      <c r="I2" t="s">
        <v>270</v>
      </c>
      <c r="J2" t="s">
        <v>69</v>
      </c>
      <c r="K2">
        <v>219</v>
      </c>
      <c r="L2" t="s">
        <v>151</v>
      </c>
      <c r="M2" t="s">
        <v>69</v>
      </c>
      <c r="N2" t="s">
        <v>152</v>
      </c>
      <c r="O2" t="s">
        <v>69</v>
      </c>
      <c r="P2">
        <v>165.19200000000001</v>
      </c>
      <c r="Q2" t="s">
        <v>69</v>
      </c>
      <c r="R2" t="s">
        <v>69</v>
      </c>
      <c r="S2">
        <v>225</v>
      </c>
      <c r="T2" t="s">
        <v>116</v>
      </c>
      <c r="U2" t="s">
        <v>69</v>
      </c>
      <c r="V2" t="s">
        <v>117</v>
      </c>
      <c r="W2" t="s">
        <v>69</v>
      </c>
      <c r="X2">
        <v>149.208</v>
      </c>
      <c r="Y2" t="s">
        <v>69</v>
      </c>
      <c r="Z2" t="s">
        <v>69</v>
      </c>
      <c r="AA2">
        <v>379</v>
      </c>
      <c r="AB2" t="s">
        <v>147</v>
      </c>
      <c r="AC2" t="s">
        <v>69</v>
      </c>
      <c r="AD2" t="s">
        <v>148</v>
      </c>
      <c r="AE2" t="s">
        <v>69</v>
      </c>
      <c r="AF2">
        <v>146.14599999999999</v>
      </c>
      <c r="AG2" t="s">
        <v>69</v>
      </c>
      <c r="AH2" t="s">
        <v>69</v>
      </c>
      <c r="AI2">
        <v>381</v>
      </c>
      <c r="AJ2" t="s">
        <v>147</v>
      </c>
      <c r="AK2" t="s">
        <v>69</v>
      </c>
      <c r="AL2" t="s">
        <v>148</v>
      </c>
      <c r="AM2" t="s">
        <v>69</v>
      </c>
      <c r="AN2">
        <v>146.14599999999999</v>
      </c>
      <c r="AO2" t="s">
        <v>69</v>
      </c>
      <c r="AP2" t="s">
        <v>69</v>
      </c>
      <c r="AQ2">
        <v>413</v>
      </c>
      <c r="AR2" t="s">
        <v>72</v>
      </c>
      <c r="AS2" t="s">
        <v>69</v>
      </c>
      <c r="AT2" t="s">
        <v>71</v>
      </c>
      <c r="AU2" t="s">
        <v>69</v>
      </c>
      <c r="AV2">
        <v>131.17500000000001</v>
      </c>
      <c r="AW2" t="s">
        <v>69</v>
      </c>
      <c r="AX2" t="s">
        <v>69</v>
      </c>
      <c r="AY2">
        <v>447</v>
      </c>
      <c r="AZ2" t="s">
        <v>74</v>
      </c>
      <c r="BA2" t="s">
        <v>69</v>
      </c>
      <c r="BB2" t="s">
        <v>75</v>
      </c>
      <c r="BC2" t="s">
        <v>69</v>
      </c>
      <c r="BD2">
        <v>174.203</v>
      </c>
      <c r="BE2" t="s">
        <v>69</v>
      </c>
      <c r="BF2" t="s">
        <v>69</v>
      </c>
      <c r="BG2">
        <v>477</v>
      </c>
      <c r="BH2" t="s">
        <v>119</v>
      </c>
      <c r="BI2" t="s">
        <v>69</v>
      </c>
      <c r="BJ2" t="s">
        <v>120</v>
      </c>
      <c r="BK2" t="s">
        <v>69</v>
      </c>
      <c r="BL2">
        <v>147.131</v>
      </c>
      <c r="BM2" t="s">
        <v>69</v>
      </c>
      <c r="BN2" t="s">
        <v>69</v>
      </c>
      <c r="BO2">
        <v>484</v>
      </c>
      <c r="BP2" t="s">
        <v>147</v>
      </c>
      <c r="BQ2" t="s">
        <v>69</v>
      </c>
      <c r="BR2" t="s">
        <v>148</v>
      </c>
      <c r="BS2" t="s">
        <v>69</v>
      </c>
      <c r="BT2">
        <v>146.14599999999999</v>
      </c>
      <c r="BU2" t="s">
        <v>69</v>
      </c>
      <c r="BV2" t="s">
        <v>69</v>
      </c>
      <c r="BW2">
        <v>544</v>
      </c>
      <c r="BX2" t="s">
        <v>249</v>
      </c>
      <c r="BY2" t="s">
        <v>69</v>
      </c>
      <c r="BZ2" t="s">
        <v>117</v>
      </c>
      <c r="CA2" t="s">
        <v>69</v>
      </c>
      <c r="CB2">
        <v>121.154</v>
      </c>
      <c r="CC2" t="s">
        <v>69</v>
      </c>
      <c r="CD2" t="s">
        <v>69</v>
      </c>
      <c r="CE2">
        <v>545</v>
      </c>
      <c r="CF2" t="s">
        <v>156</v>
      </c>
      <c r="CG2" t="s">
        <v>69</v>
      </c>
      <c r="CH2" t="s">
        <v>120</v>
      </c>
      <c r="CI2" t="s">
        <v>69</v>
      </c>
      <c r="CJ2">
        <v>133.10400000000001</v>
      </c>
      <c r="CK2" t="s">
        <v>69</v>
      </c>
      <c r="CL2" t="s">
        <v>69</v>
      </c>
      <c r="CM2">
        <v>556</v>
      </c>
      <c r="CN2" t="s">
        <v>115</v>
      </c>
      <c r="CO2" t="s">
        <v>69</v>
      </c>
      <c r="CP2" t="s">
        <v>71</v>
      </c>
      <c r="CQ2" t="s">
        <v>69</v>
      </c>
      <c r="CR2">
        <v>117.148</v>
      </c>
      <c r="CS2" t="s">
        <v>69</v>
      </c>
      <c r="CT2" t="s">
        <v>69</v>
      </c>
      <c r="CU2">
        <v>580</v>
      </c>
      <c r="CV2" t="s">
        <v>119</v>
      </c>
      <c r="CW2" t="s">
        <v>69</v>
      </c>
      <c r="CX2" t="s">
        <v>120</v>
      </c>
      <c r="CY2" t="s">
        <v>69</v>
      </c>
      <c r="CZ2">
        <v>147.131</v>
      </c>
      <c r="DA2" t="s">
        <v>69</v>
      </c>
      <c r="DB2" t="s">
        <v>69</v>
      </c>
      <c r="DC2">
        <v>594</v>
      </c>
      <c r="DD2" t="s">
        <v>147</v>
      </c>
      <c r="DE2" t="s">
        <v>69</v>
      </c>
      <c r="DF2" t="s">
        <v>148</v>
      </c>
      <c r="DG2" t="s">
        <v>69</v>
      </c>
      <c r="DH2">
        <v>146.14599999999999</v>
      </c>
      <c r="DI2" t="s">
        <v>69</v>
      </c>
      <c r="DJ2" t="s">
        <v>69</v>
      </c>
    </row>
    <row r="3" spans="1:114" x14ac:dyDescent="0.25">
      <c r="A3">
        <v>7</v>
      </c>
      <c r="B3" t="str">
        <f>HYPERLINK("http://www.ncbi.nlm.nih.gov/protein/XP_004036025.1","XP_004036025.1")</f>
        <v>XP_004036025.1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HYPERLINK("http://www.ncbi.nlm.nih.gov/protein/XP_004036025.1","mitochondrial import receptor subunit TOM70")</f>
        <v>mitochondrial import receptor subunit TOM70</v>
      </c>
      <c r="I3" t="s">
        <v>270</v>
      </c>
      <c r="J3" t="s">
        <v>69</v>
      </c>
      <c r="K3">
        <v>219</v>
      </c>
      <c r="L3" t="s">
        <v>151</v>
      </c>
      <c r="M3" t="s">
        <v>69</v>
      </c>
      <c r="N3" t="s">
        <v>152</v>
      </c>
      <c r="O3" t="s">
        <v>69</v>
      </c>
      <c r="P3">
        <v>165.19200000000001</v>
      </c>
      <c r="Q3" t="s">
        <v>69</v>
      </c>
      <c r="R3" t="s">
        <v>69</v>
      </c>
      <c r="S3">
        <v>225</v>
      </c>
      <c r="T3" t="s">
        <v>116</v>
      </c>
      <c r="U3" t="s">
        <v>69</v>
      </c>
      <c r="V3" t="s">
        <v>117</v>
      </c>
      <c r="W3" t="s">
        <v>69</v>
      </c>
      <c r="X3">
        <v>149.208</v>
      </c>
      <c r="Y3" t="s">
        <v>69</v>
      </c>
      <c r="Z3" t="s">
        <v>69</v>
      </c>
      <c r="AA3">
        <v>379</v>
      </c>
      <c r="AB3" t="s">
        <v>147</v>
      </c>
      <c r="AC3" t="s">
        <v>69</v>
      </c>
      <c r="AD3" t="s">
        <v>148</v>
      </c>
      <c r="AE3" t="s">
        <v>69</v>
      </c>
      <c r="AF3">
        <v>146.14599999999999</v>
      </c>
      <c r="AG3" t="s">
        <v>69</v>
      </c>
      <c r="AH3" t="s">
        <v>69</v>
      </c>
      <c r="AI3">
        <v>381</v>
      </c>
      <c r="AJ3" t="s">
        <v>147</v>
      </c>
      <c r="AK3" t="s">
        <v>69</v>
      </c>
      <c r="AL3" t="s">
        <v>148</v>
      </c>
      <c r="AM3" t="s">
        <v>69</v>
      </c>
      <c r="AN3">
        <v>146.14599999999999</v>
      </c>
      <c r="AO3" t="s">
        <v>69</v>
      </c>
      <c r="AP3" t="s">
        <v>69</v>
      </c>
      <c r="AQ3">
        <v>413</v>
      </c>
      <c r="AR3" t="s">
        <v>72</v>
      </c>
      <c r="AS3" t="s">
        <v>69</v>
      </c>
      <c r="AT3" t="s">
        <v>71</v>
      </c>
      <c r="AU3" t="s">
        <v>69</v>
      </c>
      <c r="AV3">
        <v>131.17500000000001</v>
      </c>
      <c r="AW3" t="s">
        <v>69</v>
      </c>
      <c r="AX3" t="s">
        <v>69</v>
      </c>
      <c r="AY3">
        <v>447</v>
      </c>
      <c r="AZ3" t="s">
        <v>74</v>
      </c>
      <c r="BA3" t="s">
        <v>69</v>
      </c>
      <c r="BB3" t="s">
        <v>75</v>
      </c>
      <c r="BC3" t="s">
        <v>69</v>
      </c>
      <c r="BD3">
        <v>174.203</v>
      </c>
      <c r="BE3" t="s">
        <v>69</v>
      </c>
      <c r="BF3" t="s">
        <v>69</v>
      </c>
      <c r="BG3">
        <v>477</v>
      </c>
      <c r="BH3" t="s">
        <v>119</v>
      </c>
      <c r="BI3" t="s">
        <v>69</v>
      </c>
      <c r="BJ3" t="s">
        <v>120</v>
      </c>
      <c r="BK3" t="s">
        <v>69</v>
      </c>
      <c r="BL3">
        <v>147.131</v>
      </c>
      <c r="BM3" t="s">
        <v>69</v>
      </c>
      <c r="BN3" t="s">
        <v>69</v>
      </c>
      <c r="BO3">
        <v>484</v>
      </c>
      <c r="BP3" t="s">
        <v>147</v>
      </c>
      <c r="BQ3" t="s">
        <v>69</v>
      </c>
      <c r="BR3" t="s">
        <v>148</v>
      </c>
      <c r="BS3" t="s">
        <v>69</v>
      </c>
      <c r="BT3">
        <v>146.14599999999999</v>
      </c>
      <c r="BU3" t="s">
        <v>69</v>
      </c>
      <c r="BV3" t="s">
        <v>69</v>
      </c>
      <c r="BW3">
        <v>544</v>
      </c>
      <c r="BX3" t="s">
        <v>249</v>
      </c>
      <c r="BY3" t="s">
        <v>69</v>
      </c>
      <c r="BZ3" t="s">
        <v>117</v>
      </c>
      <c r="CA3" t="s">
        <v>69</v>
      </c>
      <c r="CB3">
        <v>121.154</v>
      </c>
      <c r="CC3" t="s">
        <v>69</v>
      </c>
      <c r="CD3" t="s">
        <v>69</v>
      </c>
      <c r="CE3">
        <v>545</v>
      </c>
      <c r="CF3" t="s">
        <v>156</v>
      </c>
      <c r="CG3" t="s">
        <v>69</v>
      </c>
      <c r="CH3" t="s">
        <v>120</v>
      </c>
      <c r="CI3" t="s">
        <v>69</v>
      </c>
      <c r="CJ3">
        <v>133.10400000000001</v>
      </c>
      <c r="CK3" t="s">
        <v>69</v>
      </c>
      <c r="CL3" t="s">
        <v>69</v>
      </c>
      <c r="CM3">
        <v>556</v>
      </c>
      <c r="CN3" t="s">
        <v>115</v>
      </c>
      <c r="CO3" t="s">
        <v>69</v>
      </c>
      <c r="CP3" t="s">
        <v>71</v>
      </c>
      <c r="CQ3" t="s">
        <v>69</v>
      </c>
      <c r="CR3">
        <v>117.148</v>
      </c>
      <c r="CS3" t="s">
        <v>69</v>
      </c>
      <c r="CT3" t="s">
        <v>69</v>
      </c>
      <c r="CU3">
        <v>580</v>
      </c>
      <c r="CV3" t="s">
        <v>119</v>
      </c>
      <c r="CW3" t="s">
        <v>69</v>
      </c>
      <c r="CX3" t="s">
        <v>120</v>
      </c>
      <c r="CY3" t="s">
        <v>69</v>
      </c>
      <c r="CZ3">
        <v>147.131</v>
      </c>
      <c r="DA3" t="s">
        <v>69</v>
      </c>
      <c r="DB3" t="s">
        <v>69</v>
      </c>
      <c r="DC3">
        <v>594</v>
      </c>
      <c r="DD3" t="s">
        <v>147</v>
      </c>
      <c r="DE3" t="s">
        <v>69</v>
      </c>
      <c r="DF3" t="s">
        <v>148</v>
      </c>
      <c r="DG3" t="s">
        <v>69</v>
      </c>
      <c r="DH3">
        <v>146.14599999999999</v>
      </c>
      <c r="DI3" t="s">
        <v>69</v>
      </c>
      <c r="DJ3" t="s">
        <v>69</v>
      </c>
    </row>
    <row r="4" spans="1:114" x14ac:dyDescent="0.25">
      <c r="A4">
        <v>7</v>
      </c>
      <c r="B4" t="str">
        <f>HYPERLINK("http://www.ncbi.nlm.nih.gov/protein/XP_007984244.1","XP_007984244.1")</f>
        <v>XP_007984244.1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HYPERLINK("http://www.ncbi.nlm.nih.gov/protein/XP_007984244.1","mitochondrial import receptor subunit TOM70")</f>
        <v>mitochondrial import receptor subunit TOM70</v>
      </c>
      <c r="I4" t="s">
        <v>270</v>
      </c>
      <c r="J4" t="s">
        <v>69</v>
      </c>
      <c r="K4">
        <v>219</v>
      </c>
      <c r="L4" t="s">
        <v>151</v>
      </c>
      <c r="M4" t="s">
        <v>69</v>
      </c>
      <c r="N4" t="s">
        <v>152</v>
      </c>
      <c r="O4" t="s">
        <v>69</v>
      </c>
      <c r="P4">
        <v>165.19200000000001</v>
      </c>
      <c r="Q4" t="s">
        <v>69</v>
      </c>
      <c r="R4" t="s">
        <v>69</v>
      </c>
      <c r="S4">
        <v>225</v>
      </c>
      <c r="T4" t="s">
        <v>116</v>
      </c>
      <c r="U4" t="s">
        <v>69</v>
      </c>
      <c r="V4" t="s">
        <v>117</v>
      </c>
      <c r="W4" t="s">
        <v>69</v>
      </c>
      <c r="X4">
        <v>149.208</v>
      </c>
      <c r="Y4" t="s">
        <v>69</v>
      </c>
      <c r="Z4" t="s">
        <v>69</v>
      </c>
      <c r="AA4">
        <v>379</v>
      </c>
      <c r="AB4" t="s">
        <v>147</v>
      </c>
      <c r="AC4" t="s">
        <v>69</v>
      </c>
      <c r="AD4" t="s">
        <v>148</v>
      </c>
      <c r="AE4" t="s">
        <v>69</v>
      </c>
      <c r="AF4">
        <v>146.14599999999999</v>
      </c>
      <c r="AG4" t="s">
        <v>69</v>
      </c>
      <c r="AH4" t="s">
        <v>69</v>
      </c>
      <c r="AI4">
        <v>381</v>
      </c>
      <c r="AJ4" t="s">
        <v>147</v>
      </c>
      <c r="AK4" t="s">
        <v>69</v>
      </c>
      <c r="AL4" t="s">
        <v>148</v>
      </c>
      <c r="AM4" t="s">
        <v>69</v>
      </c>
      <c r="AN4">
        <v>146.14599999999999</v>
      </c>
      <c r="AO4" t="s">
        <v>69</v>
      </c>
      <c r="AP4" t="s">
        <v>69</v>
      </c>
      <c r="AQ4">
        <v>413</v>
      </c>
      <c r="AR4" t="s">
        <v>72</v>
      </c>
      <c r="AS4" t="s">
        <v>69</v>
      </c>
      <c r="AT4" t="s">
        <v>71</v>
      </c>
      <c r="AU4" t="s">
        <v>69</v>
      </c>
      <c r="AV4">
        <v>131.17500000000001</v>
      </c>
      <c r="AW4" t="s">
        <v>69</v>
      </c>
      <c r="AX4" t="s">
        <v>69</v>
      </c>
      <c r="AY4">
        <v>447</v>
      </c>
      <c r="AZ4" t="s">
        <v>74</v>
      </c>
      <c r="BA4" t="s">
        <v>69</v>
      </c>
      <c r="BB4" t="s">
        <v>75</v>
      </c>
      <c r="BC4" t="s">
        <v>69</v>
      </c>
      <c r="BD4">
        <v>174.203</v>
      </c>
      <c r="BE4" t="s">
        <v>69</v>
      </c>
      <c r="BF4" t="s">
        <v>69</v>
      </c>
      <c r="BG4">
        <v>477</v>
      </c>
      <c r="BH4" t="s">
        <v>119</v>
      </c>
      <c r="BI4" t="s">
        <v>69</v>
      </c>
      <c r="BJ4" t="s">
        <v>120</v>
      </c>
      <c r="BK4" t="s">
        <v>69</v>
      </c>
      <c r="BL4">
        <v>147.131</v>
      </c>
      <c r="BM4" t="s">
        <v>69</v>
      </c>
      <c r="BN4" t="s">
        <v>69</v>
      </c>
      <c r="BO4">
        <v>484</v>
      </c>
      <c r="BP4" t="s">
        <v>147</v>
      </c>
      <c r="BQ4" t="s">
        <v>69</v>
      </c>
      <c r="BR4" t="s">
        <v>148</v>
      </c>
      <c r="BS4" t="s">
        <v>69</v>
      </c>
      <c r="BT4">
        <v>146.14599999999999</v>
      </c>
      <c r="BU4" t="s">
        <v>69</v>
      </c>
      <c r="BV4" t="s">
        <v>69</v>
      </c>
      <c r="BW4">
        <v>544</v>
      </c>
      <c r="BX4" t="s">
        <v>249</v>
      </c>
      <c r="BY4" t="s">
        <v>69</v>
      </c>
      <c r="BZ4" t="s">
        <v>117</v>
      </c>
      <c r="CA4" t="s">
        <v>69</v>
      </c>
      <c r="CB4">
        <v>121.154</v>
      </c>
      <c r="CC4" t="s">
        <v>69</v>
      </c>
      <c r="CD4" t="s">
        <v>69</v>
      </c>
      <c r="CE4">
        <v>545</v>
      </c>
      <c r="CF4" t="s">
        <v>156</v>
      </c>
      <c r="CG4" t="s">
        <v>69</v>
      </c>
      <c r="CH4" t="s">
        <v>120</v>
      </c>
      <c r="CI4" t="s">
        <v>69</v>
      </c>
      <c r="CJ4">
        <v>133.10400000000001</v>
      </c>
      <c r="CK4" t="s">
        <v>69</v>
      </c>
      <c r="CL4" t="s">
        <v>69</v>
      </c>
      <c r="CM4">
        <v>556</v>
      </c>
      <c r="CN4" t="s">
        <v>115</v>
      </c>
      <c r="CO4" t="s">
        <v>69</v>
      </c>
      <c r="CP4" t="s">
        <v>71</v>
      </c>
      <c r="CQ4" t="s">
        <v>69</v>
      </c>
      <c r="CR4">
        <v>117.148</v>
      </c>
      <c r="CS4" t="s">
        <v>69</v>
      </c>
      <c r="CT4" t="s">
        <v>69</v>
      </c>
      <c r="CU4">
        <v>580</v>
      </c>
      <c r="CV4" t="s">
        <v>119</v>
      </c>
      <c r="CW4" t="s">
        <v>69</v>
      </c>
      <c r="CX4" t="s">
        <v>120</v>
      </c>
      <c r="CY4" t="s">
        <v>69</v>
      </c>
      <c r="CZ4">
        <v>147.131</v>
      </c>
      <c r="DA4" t="s">
        <v>69</v>
      </c>
      <c r="DB4" t="s">
        <v>69</v>
      </c>
      <c r="DC4">
        <v>594</v>
      </c>
      <c r="DD4" t="s">
        <v>147</v>
      </c>
      <c r="DE4" t="s">
        <v>69</v>
      </c>
      <c r="DF4" t="s">
        <v>148</v>
      </c>
      <c r="DG4" t="s">
        <v>69</v>
      </c>
      <c r="DH4">
        <v>146.14599999999999</v>
      </c>
      <c r="DI4" t="s">
        <v>69</v>
      </c>
      <c r="DJ4" t="s">
        <v>69</v>
      </c>
    </row>
    <row r="5" spans="1:114" x14ac:dyDescent="0.25">
      <c r="A5">
        <v>7</v>
      </c>
      <c r="B5" t="str">
        <f>HYPERLINK("http://www.ncbi.nlm.nih.gov/protein/NP_001253082.1","NP_001253082.1")</f>
        <v>NP_001253082.1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HYPERLINK("http://www.ncbi.nlm.nih.gov/protein/NP_001253082.1","mitochondrial import receptor subunit TOM70")</f>
        <v>mitochondrial import receptor subunit TOM70</v>
      </c>
      <c r="I5" t="s">
        <v>270</v>
      </c>
      <c r="J5" t="s">
        <v>69</v>
      </c>
      <c r="K5">
        <v>219</v>
      </c>
      <c r="L5" t="s">
        <v>151</v>
      </c>
      <c r="M5" t="s">
        <v>69</v>
      </c>
      <c r="N5" t="s">
        <v>152</v>
      </c>
      <c r="O5" t="s">
        <v>69</v>
      </c>
      <c r="P5">
        <v>165.19200000000001</v>
      </c>
      <c r="Q5" t="s">
        <v>69</v>
      </c>
      <c r="R5" t="s">
        <v>69</v>
      </c>
      <c r="S5">
        <v>225</v>
      </c>
      <c r="T5" t="s">
        <v>116</v>
      </c>
      <c r="U5" t="s">
        <v>69</v>
      </c>
      <c r="V5" t="s">
        <v>117</v>
      </c>
      <c r="W5" t="s">
        <v>69</v>
      </c>
      <c r="X5">
        <v>149.208</v>
      </c>
      <c r="Y5" t="s">
        <v>69</v>
      </c>
      <c r="Z5" t="s">
        <v>69</v>
      </c>
      <c r="AA5">
        <v>379</v>
      </c>
      <c r="AB5" t="s">
        <v>147</v>
      </c>
      <c r="AC5" t="s">
        <v>69</v>
      </c>
      <c r="AD5" t="s">
        <v>148</v>
      </c>
      <c r="AE5" t="s">
        <v>69</v>
      </c>
      <c r="AF5">
        <v>146.14599999999999</v>
      </c>
      <c r="AG5" t="s">
        <v>69</v>
      </c>
      <c r="AH5" t="s">
        <v>69</v>
      </c>
      <c r="AI5">
        <v>381</v>
      </c>
      <c r="AJ5" t="s">
        <v>147</v>
      </c>
      <c r="AK5" t="s">
        <v>69</v>
      </c>
      <c r="AL5" t="s">
        <v>148</v>
      </c>
      <c r="AM5" t="s">
        <v>69</v>
      </c>
      <c r="AN5">
        <v>146.14599999999999</v>
      </c>
      <c r="AO5" t="s">
        <v>69</v>
      </c>
      <c r="AP5" t="s">
        <v>69</v>
      </c>
      <c r="AQ5">
        <v>413</v>
      </c>
      <c r="AR5" t="s">
        <v>72</v>
      </c>
      <c r="AS5" t="s">
        <v>69</v>
      </c>
      <c r="AT5" t="s">
        <v>71</v>
      </c>
      <c r="AU5" t="s">
        <v>69</v>
      </c>
      <c r="AV5">
        <v>131.17500000000001</v>
      </c>
      <c r="AW5" t="s">
        <v>69</v>
      </c>
      <c r="AX5" t="s">
        <v>69</v>
      </c>
      <c r="AY5">
        <v>447</v>
      </c>
      <c r="AZ5" t="s">
        <v>74</v>
      </c>
      <c r="BA5" t="s">
        <v>69</v>
      </c>
      <c r="BB5" t="s">
        <v>75</v>
      </c>
      <c r="BC5" t="s">
        <v>69</v>
      </c>
      <c r="BD5">
        <v>174.203</v>
      </c>
      <c r="BE5" t="s">
        <v>69</v>
      </c>
      <c r="BF5" t="s">
        <v>69</v>
      </c>
      <c r="BG5">
        <v>477</v>
      </c>
      <c r="BH5" t="s">
        <v>119</v>
      </c>
      <c r="BI5" t="s">
        <v>69</v>
      </c>
      <c r="BJ5" t="s">
        <v>120</v>
      </c>
      <c r="BK5" t="s">
        <v>69</v>
      </c>
      <c r="BL5">
        <v>147.131</v>
      </c>
      <c r="BM5" t="s">
        <v>69</v>
      </c>
      <c r="BN5" t="s">
        <v>69</v>
      </c>
      <c r="BO5">
        <v>484</v>
      </c>
      <c r="BP5" t="s">
        <v>147</v>
      </c>
      <c r="BQ5" t="s">
        <v>69</v>
      </c>
      <c r="BR5" t="s">
        <v>148</v>
      </c>
      <c r="BS5" t="s">
        <v>69</v>
      </c>
      <c r="BT5">
        <v>146.14599999999999</v>
      </c>
      <c r="BU5" t="s">
        <v>69</v>
      </c>
      <c r="BV5" t="s">
        <v>69</v>
      </c>
      <c r="BW5">
        <v>544</v>
      </c>
      <c r="BX5" t="s">
        <v>249</v>
      </c>
      <c r="BY5" t="s">
        <v>69</v>
      </c>
      <c r="BZ5" t="s">
        <v>117</v>
      </c>
      <c r="CA5" t="s">
        <v>69</v>
      </c>
      <c r="CB5">
        <v>121.154</v>
      </c>
      <c r="CC5" t="s">
        <v>69</v>
      </c>
      <c r="CD5" t="s">
        <v>69</v>
      </c>
      <c r="CE5">
        <v>545</v>
      </c>
      <c r="CF5" t="s">
        <v>156</v>
      </c>
      <c r="CG5" t="s">
        <v>69</v>
      </c>
      <c r="CH5" t="s">
        <v>120</v>
      </c>
      <c r="CI5" t="s">
        <v>69</v>
      </c>
      <c r="CJ5">
        <v>133.10400000000001</v>
      </c>
      <c r="CK5" t="s">
        <v>69</v>
      </c>
      <c r="CL5" t="s">
        <v>69</v>
      </c>
      <c r="CM5">
        <v>556</v>
      </c>
      <c r="CN5" t="s">
        <v>115</v>
      </c>
      <c r="CO5" t="s">
        <v>69</v>
      </c>
      <c r="CP5" t="s">
        <v>71</v>
      </c>
      <c r="CQ5" t="s">
        <v>69</v>
      </c>
      <c r="CR5">
        <v>117.148</v>
      </c>
      <c r="CS5" t="s">
        <v>69</v>
      </c>
      <c r="CT5" t="s">
        <v>69</v>
      </c>
      <c r="CU5">
        <v>580</v>
      </c>
      <c r="CV5" t="s">
        <v>119</v>
      </c>
      <c r="CW5" t="s">
        <v>69</v>
      </c>
      <c r="CX5" t="s">
        <v>120</v>
      </c>
      <c r="CY5" t="s">
        <v>69</v>
      </c>
      <c r="CZ5">
        <v>147.131</v>
      </c>
      <c r="DA5" t="s">
        <v>69</v>
      </c>
      <c r="DB5" t="s">
        <v>69</v>
      </c>
      <c r="DC5">
        <v>594</v>
      </c>
      <c r="DD5" t="s">
        <v>147</v>
      </c>
      <c r="DE5" t="s">
        <v>69</v>
      </c>
      <c r="DF5" t="s">
        <v>148</v>
      </c>
      <c r="DG5" t="s">
        <v>69</v>
      </c>
      <c r="DH5">
        <v>146.14599999999999</v>
      </c>
      <c r="DI5" t="s">
        <v>69</v>
      </c>
      <c r="DJ5" t="s">
        <v>69</v>
      </c>
    </row>
    <row r="6" spans="1:114" x14ac:dyDescent="0.25">
      <c r="A6">
        <v>7</v>
      </c>
      <c r="B6" t="str">
        <f>HYPERLINK("http://www.ncbi.nlm.nih.gov/protein/XP_002758910.1","XP_002758910.1")</f>
        <v>XP_002758910.1</v>
      </c>
      <c r="C6">
        <v>87664</v>
      </c>
      <c r="D6" t="str">
        <f>HYPERLINK("http://www.ncbi.nlm.nih.gov/Taxonomy/Browser/wwwtax.cgi?mode=Info&amp;id=9483&amp;lvl=3&amp;lin=f&amp;keep=1&amp;srchmode=1&amp;unlock","9483")</f>
        <v>9483</v>
      </c>
      <c r="E6" t="s">
        <v>66</v>
      </c>
      <c r="F6" t="str">
        <f>HYPERLINK("http://www.ncbi.nlm.nih.gov/Taxonomy/Browser/wwwtax.cgi?mode=Info&amp;id=9483&amp;lvl=3&amp;lin=f&amp;keep=1&amp;srchmode=1&amp;unlock","Callithrix jacchus")</f>
        <v>Callithrix jacchus</v>
      </c>
      <c r="G6" t="s">
        <v>106</v>
      </c>
      <c r="H6" t="str">
        <f>HYPERLINK("http://www.ncbi.nlm.nih.gov/protein/XP_002758910.1","mitochondrial import receptor subunit TOM70")</f>
        <v>mitochondrial import receptor subunit TOM70</v>
      </c>
      <c r="I6" t="s">
        <v>270</v>
      </c>
      <c r="J6" t="s">
        <v>69</v>
      </c>
      <c r="K6">
        <v>219</v>
      </c>
      <c r="L6" t="s">
        <v>151</v>
      </c>
      <c r="M6" t="s">
        <v>69</v>
      </c>
      <c r="N6" t="s">
        <v>152</v>
      </c>
      <c r="O6" t="s">
        <v>69</v>
      </c>
      <c r="P6">
        <v>165.19200000000001</v>
      </c>
      <c r="Q6" t="s">
        <v>69</v>
      </c>
      <c r="R6" t="s">
        <v>69</v>
      </c>
      <c r="S6">
        <v>225</v>
      </c>
      <c r="T6" t="s">
        <v>116</v>
      </c>
      <c r="U6" t="s">
        <v>69</v>
      </c>
      <c r="V6" t="s">
        <v>117</v>
      </c>
      <c r="W6" t="s">
        <v>69</v>
      </c>
      <c r="X6">
        <v>149.208</v>
      </c>
      <c r="Y6" t="s">
        <v>69</v>
      </c>
      <c r="Z6" t="s">
        <v>69</v>
      </c>
      <c r="AA6">
        <v>379</v>
      </c>
      <c r="AB6" t="s">
        <v>147</v>
      </c>
      <c r="AC6" t="s">
        <v>69</v>
      </c>
      <c r="AD6" t="s">
        <v>148</v>
      </c>
      <c r="AE6" t="s">
        <v>69</v>
      </c>
      <c r="AF6">
        <v>146.14599999999999</v>
      </c>
      <c r="AG6" t="s">
        <v>69</v>
      </c>
      <c r="AH6" t="s">
        <v>69</v>
      </c>
      <c r="AI6">
        <v>381</v>
      </c>
      <c r="AJ6" t="s">
        <v>147</v>
      </c>
      <c r="AK6" t="s">
        <v>69</v>
      </c>
      <c r="AL6" t="s">
        <v>148</v>
      </c>
      <c r="AM6" t="s">
        <v>69</v>
      </c>
      <c r="AN6">
        <v>146.14599999999999</v>
      </c>
      <c r="AO6" t="s">
        <v>69</v>
      </c>
      <c r="AP6" t="s">
        <v>69</v>
      </c>
      <c r="AQ6">
        <v>413</v>
      </c>
      <c r="AR6" t="s">
        <v>72</v>
      </c>
      <c r="AS6" t="s">
        <v>69</v>
      </c>
      <c r="AT6" t="s">
        <v>71</v>
      </c>
      <c r="AU6" t="s">
        <v>69</v>
      </c>
      <c r="AV6">
        <v>131.17500000000001</v>
      </c>
      <c r="AW6" t="s">
        <v>69</v>
      </c>
      <c r="AX6" t="s">
        <v>69</v>
      </c>
      <c r="AY6">
        <v>447</v>
      </c>
      <c r="AZ6" t="s">
        <v>74</v>
      </c>
      <c r="BA6" t="s">
        <v>69</v>
      </c>
      <c r="BB6" t="s">
        <v>75</v>
      </c>
      <c r="BC6" t="s">
        <v>69</v>
      </c>
      <c r="BD6">
        <v>174.203</v>
      </c>
      <c r="BE6" t="s">
        <v>69</v>
      </c>
      <c r="BF6" t="s">
        <v>69</v>
      </c>
      <c r="BG6">
        <v>477</v>
      </c>
      <c r="BH6" t="s">
        <v>119</v>
      </c>
      <c r="BI6" t="s">
        <v>69</v>
      </c>
      <c r="BJ6" t="s">
        <v>120</v>
      </c>
      <c r="BK6" t="s">
        <v>69</v>
      </c>
      <c r="BL6">
        <v>147.131</v>
      </c>
      <c r="BM6" t="s">
        <v>69</v>
      </c>
      <c r="BN6" t="s">
        <v>69</v>
      </c>
      <c r="BO6">
        <v>484</v>
      </c>
      <c r="BP6" t="s">
        <v>147</v>
      </c>
      <c r="BQ6" t="s">
        <v>69</v>
      </c>
      <c r="BR6" t="s">
        <v>148</v>
      </c>
      <c r="BS6" t="s">
        <v>69</v>
      </c>
      <c r="BT6">
        <v>146.14599999999999</v>
      </c>
      <c r="BU6" t="s">
        <v>69</v>
      </c>
      <c r="BV6" t="s">
        <v>69</v>
      </c>
      <c r="BW6">
        <v>544</v>
      </c>
      <c r="BX6" t="s">
        <v>249</v>
      </c>
      <c r="BY6" t="s">
        <v>69</v>
      </c>
      <c r="BZ6" t="s">
        <v>117</v>
      </c>
      <c r="CA6" t="s">
        <v>69</v>
      </c>
      <c r="CB6">
        <v>121.154</v>
      </c>
      <c r="CC6" t="s">
        <v>69</v>
      </c>
      <c r="CD6" t="s">
        <v>69</v>
      </c>
      <c r="CE6">
        <v>545</v>
      </c>
      <c r="CF6" t="s">
        <v>156</v>
      </c>
      <c r="CG6" t="s">
        <v>69</v>
      </c>
      <c r="CH6" t="s">
        <v>120</v>
      </c>
      <c r="CI6" t="s">
        <v>69</v>
      </c>
      <c r="CJ6">
        <v>133.10400000000001</v>
      </c>
      <c r="CK6" t="s">
        <v>69</v>
      </c>
      <c r="CL6" t="s">
        <v>69</v>
      </c>
      <c r="CM6">
        <v>556</v>
      </c>
      <c r="CN6" t="s">
        <v>115</v>
      </c>
      <c r="CO6" t="s">
        <v>69</v>
      </c>
      <c r="CP6" t="s">
        <v>71</v>
      </c>
      <c r="CQ6" t="s">
        <v>69</v>
      </c>
      <c r="CR6">
        <v>117.148</v>
      </c>
      <c r="CS6" t="s">
        <v>69</v>
      </c>
      <c r="CT6" t="s">
        <v>69</v>
      </c>
      <c r="CU6">
        <v>580</v>
      </c>
      <c r="CV6" t="s">
        <v>119</v>
      </c>
      <c r="CW6" t="s">
        <v>69</v>
      </c>
      <c r="CX6" t="s">
        <v>120</v>
      </c>
      <c r="CY6" t="s">
        <v>69</v>
      </c>
      <c r="CZ6">
        <v>147.131</v>
      </c>
      <c r="DA6" t="s">
        <v>69</v>
      </c>
      <c r="DB6" t="s">
        <v>69</v>
      </c>
      <c r="DC6">
        <v>594</v>
      </c>
      <c r="DD6" t="s">
        <v>147</v>
      </c>
      <c r="DE6" t="s">
        <v>69</v>
      </c>
      <c r="DF6" t="s">
        <v>148</v>
      </c>
      <c r="DG6" t="s">
        <v>69</v>
      </c>
      <c r="DH6">
        <v>146.14599999999999</v>
      </c>
      <c r="DI6" t="s">
        <v>69</v>
      </c>
      <c r="DJ6" t="s">
        <v>69</v>
      </c>
    </row>
    <row r="7" spans="1:114" x14ac:dyDescent="0.25">
      <c r="A7">
        <v>7</v>
      </c>
      <c r="B7" t="str">
        <f>HYPERLINK("http://www.ncbi.nlm.nih.gov/protein/XP_020926968.1","XP_020926968.1")</f>
        <v>XP_020926968.1</v>
      </c>
      <c r="C7">
        <v>86952</v>
      </c>
      <c r="D7" t="str">
        <f>HYPERLINK("http://www.ncbi.nlm.nih.gov/Taxonomy/Browser/wwwtax.cgi?mode=Info&amp;id=9823&amp;lvl=3&amp;lin=f&amp;keep=1&amp;srchmode=1&amp;unlock","9823")</f>
        <v>9823</v>
      </c>
      <c r="E7" t="s">
        <v>66</v>
      </c>
      <c r="F7" t="str">
        <f>HYPERLINK("http://www.ncbi.nlm.nih.gov/Taxonomy/Browser/wwwtax.cgi?mode=Info&amp;id=9823&amp;lvl=3&amp;lin=f&amp;keep=1&amp;srchmode=1&amp;unlock","Sus scrofa")</f>
        <v>Sus scrofa</v>
      </c>
      <c r="G7" t="s">
        <v>85</v>
      </c>
      <c r="H7" t="str">
        <f>HYPERLINK("http://www.ncbi.nlm.nih.gov/protein/XP_020926968.1","mitochondrial import receptor subunit TOM70")</f>
        <v>mitochondrial import receptor subunit TOM70</v>
      </c>
      <c r="I7" t="s">
        <v>270</v>
      </c>
      <c r="J7" t="s">
        <v>69</v>
      </c>
      <c r="K7">
        <v>220</v>
      </c>
      <c r="L7" t="s">
        <v>151</v>
      </c>
      <c r="M7" t="s">
        <v>69</v>
      </c>
      <c r="N7" t="s">
        <v>152</v>
      </c>
      <c r="O7" t="s">
        <v>69</v>
      </c>
      <c r="P7">
        <v>165.19200000000001</v>
      </c>
      <c r="Q7" t="s">
        <v>69</v>
      </c>
      <c r="R7" t="s">
        <v>69</v>
      </c>
      <c r="S7">
        <v>226</v>
      </c>
      <c r="T7" t="s">
        <v>116</v>
      </c>
      <c r="U7" t="s">
        <v>69</v>
      </c>
      <c r="V7" t="s">
        <v>117</v>
      </c>
      <c r="W7" t="s">
        <v>69</v>
      </c>
      <c r="X7">
        <v>149.208</v>
      </c>
      <c r="Y7" t="s">
        <v>69</v>
      </c>
      <c r="Z7" t="s">
        <v>69</v>
      </c>
      <c r="AA7">
        <v>380</v>
      </c>
      <c r="AB7" t="s">
        <v>147</v>
      </c>
      <c r="AC7" t="s">
        <v>69</v>
      </c>
      <c r="AD7" t="s">
        <v>148</v>
      </c>
      <c r="AE7" t="s">
        <v>69</v>
      </c>
      <c r="AF7">
        <v>146.14599999999999</v>
      </c>
      <c r="AG7" t="s">
        <v>69</v>
      </c>
      <c r="AH7" t="s">
        <v>69</v>
      </c>
      <c r="AI7">
        <v>382</v>
      </c>
      <c r="AJ7" t="s">
        <v>147</v>
      </c>
      <c r="AK7" t="s">
        <v>69</v>
      </c>
      <c r="AL7" t="s">
        <v>148</v>
      </c>
      <c r="AM7" t="s">
        <v>69</v>
      </c>
      <c r="AN7">
        <v>146.14599999999999</v>
      </c>
      <c r="AO7" t="s">
        <v>69</v>
      </c>
      <c r="AP7" t="s">
        <v>69</v>
      </c>
      <c r="AQ7">
        <v>414</v>
      </c>
      <c r="AR7" t="s">
        <v>72</v>
      </c>
      <c r="AS7" t="s">
        <v>69</v>
      </c>
      <c r="AT7" t="s">
        <v>71</v>
      </c>
      <c r="AU7" t="s">
        <v>69</v>
      </c>
      <c r="AV7">
        <v>131.17500000000001</v>
      </c>
      <c r="AW7" t="s">
        <v>69</v>
      </c>
      <c r="AX7" t="s">
        <v>69</v>
      </c>
      <c r="AY7">
        <v>448</v>
      </c>
      <c r="AZ7" t="s">
        <v>74</v>
      </c>
      <c r="BA7" t="s">
        <v>69</v>
      </c>
      <c r="BB7" t="s">
        <v>75</v>
      </c>
      <c r="BC7" t="s">
        <v>69</v>
      </c>
      <c r="BD7">
        <v>174.203</v>
      </c>
      <c r="BE7" t="s">
        <v>69</v>
      </c>
      <c r="BF7" t="s">
        <v>69</v>
      </c>
      <c r="BG7">
        <v>478</v>
      </c>
      <c r="BH7" t="s">
        <v>119</v>
      </c>
      <c r="BI7" t="s">
        <v>69</v>
      </c>
      <c r="BJ7" t="s">
        <v>120</v>
      </c>
      <c r="BK7" t="s">
        <v>69</v>
      </c>
      <c r="BL7">
        <v>147.131</v>
      </c>
      <c r="BM7" t="s">
        <v>69</v>
      </c>
      <c r="BN7" t="s">
        <v>69</v>
      </c>
      <c r="BO7">
        <v>485</v>
      </c>
      <c r="BP7" t="s">
        <v>147</v>
      </c>
      <c r="BQ7" t="s">
        <v>69</v>
      </c>
      <c r="BR7" t="s">
        <v>148</v>
      </c>
      <c r="BS7" t="s">
        <v>69</v>
      </c>
      <c r="BT7">
        <v>146.14599999999999</v>
      </c>
      <c r="BU7" t="s">
        <v>69</v>
      </c>
      <c r="BV7" t="s">
        <v>69</v>
      </c>
      <c r="BW7">
        <v>545</v>
      </c>
      <c r="BX7" t="s">
        <v>249</v>
      </c>
      <c r="BY7" t="s">
        <v>69</v>
      </c>
      <c r="BZ7" t="s">
        <v>117</v>
      </c>
      <c r="CA7" t="s">
        <v>69</v>
      </c>
      <c r="CB7">
        <v>121.154</v>
      </c>
      <c r="CC7" t="s">
        <v>69</v>
      </c>
      <c r="CD7" t="s">
        <v>69</v>
      </c>
      <c r="CE7">
        <v>546</v>
      </c>
      <c r="CF7" t="s">
        <v>156</v>
      </c>
      <c r="CG7" t="s">
        <v>69</v>
      </c>
      <c r="CH7" t="s">
        <v>120</v>
      </c>
      <c r="CI7" t="s">
        <v>69</v>
      </c>
      <c r="CJ7">
        <v>133.10400000000001</v>
      </c>
      <c r="CK7" t="s">
        <v>69</v>
      </c>
      <c r="CL7" t="s">
        <v>69</v>
      </c>
      <c r="CM7">
        <v>557</v>
      </c>
      <c r="CN7" t="s">
        <v>115</v>
      </c>
      <c r="CO7" t="s">
        <v>69</v>
      </c>
      <c r="CP7" t="s">
        <v>71</v>
      </c>
      <c r="CQ7" t="s">
        <v>69</v>
      </c>
      <c r="CR7">
        <v>117.148</v>
      </c>
      <c r="CS7" t="s">
        <v>69</v>
      </c>
      <c r="CT7" t="s">
        <v>69</v>
      </c>
      <c r="CU7">
        <v>581</v>
      </c>
      <c r="CV7" t="s">
        <v>119</v>
      </c>
      <c r="CW7" t="s">
        <v>69</v>
      </c>
      <c r="CX7" t="s">
        <v>120</v>
      </c>
      <c r="CY7" t="s">
        <v>69</v>
      </c>
      <c r="CZ7">
        <v>147.131</v>
      </c>
      <c r="DA7" t="s">
        <v>69</v>
      </c>
      <c r="DB7" t="s">
        <v>69</v>
      </c>
      <c r="DC7">
        <v>595</v>
      </c>
      <c r="DD7" t="s">
        <v>147</v>
      </c>
      <c r="DE7" t="s">
        <v>69</v>
      </c>
      <c r="DF7" t="s">
        <v>148</v>
      </c>
      <c r="DG7" t="s">
        <v>69</v>
      </c>
      <c r="DH7">
        <v>146.14599999999999</v>
      </c>
      <c r="DI7" t="s">
        <v>69</v>
      </c>
      <c r="DJ7" t="s">
        <v>69</v>
      </c>
    </row>
    <row r="8" spans="1:114" x14ac:dyDescent="0.25">
      <c r="A8">
        <v>7</v>
      </c>
      <c r="B8" t="str">
        <f>HYPERLINK("http://www.ncbi.nlm.nih.gov/protein/XP_014441435.1","XP_014441435.1")</f>
        <v>XP_014441435.1</v>
      </c>
      <c r="C8">
        <v>59507</v>
      </c>
      <c r="D8" t="str">
        <f>HYPERLINK("http://www.ncbi.nlm.nih.gov/Taxonomy/Browser/wwwtax.cgi?mode=Info&amp;id=246437&amp;lvl=3&amp;lin=f&amp;keep=1&amp;srchmode=1&amp;unlock","246437")</f>
        <v>246437</v>
      </c>
      <c r="E8" t="s">
        <v>66</v>
      </c>
      <c r="F8" t="str">
        <f>HYPERLINK("http://www.ncbi.nlm.nih.gov/Taxonomy/Browser/wwwtax.cgi?mode=Info&amp;id=246437&amp;lvl=3&amp;lin=f&amp;keep=1&amp;srchmode=1&amp;unlock","Tupaia chinensis")</f>
        <v>Tupaia chinensis</v>
      </c>
      <c r="G8" t="s">
        <v>97</v>
      </c>
      <c r="H8" t="str">
        <f>HYPERLINK("http://www.ncbi.nlm.nih.gov/protein/XP_014441435.1","mitochondrial import receptor subunit TOM70")</f>
        <v>mitochondrial import receptor subunit TOM70</v>
      </c>
      <c r="I8" t="s">
        <v>270</v>
      </c>
      <c r="J8" t="s">
        <v>69</v>
      </c>
      <c r="K8">
        <v>220</v>
      </c>
      <c r="L8" t="s">
        <v>151</v>
      </c>
      <c r="M8" t="s">
        <v>69</v>
      </c>
      <c r="N8" t="s">
        <v>152</v>
      </c>
      <c r="O8" t="s">
        <v>69</v>
      </c>
      <c r="P8">
        <v>165.19200000000001</v>
      </c>
      <c r="Q8" t="s">
        <v>69</v>
      </c>
      <c r="R8" t="s">
        <v>69</v>
      </c>
      <c r="S8">
        <v>226</v>
      </c>
      <c r="T8" t="s">
        <v>116</v>
      </c>
      <c r="U8" t="s">
        <v>69</v>
      </c>
      <c r="V8" t="s">
        <v>117</v>
      </c>
      <c r="W8" t="s">
        <v>69</v>
      </c>
      <c r="X8">
        <v>149.208</v>
      </c>
      <c r="Y8" t="s">
        <v>69</v>
      </c>
      <c r="Z8" t="s">
        <v>69</v>
      </c>
      <c r="AA8">
        <v>380</v>
      </c>
      <c r="AB8" t="s">
        <v>147</v>
      </c>
      <c r="AC8" t="s">
        <v>69</v>
      </c>
      <c r="AD8" t="s">
        <v>148</v>
      </c>
      <c r="AE8" t="s">
        <v>69</v>
      </c>
      <c r="AF8">
        <v>146.14599999999999</v>
      </c>
      <c r="AG8" t="s">
        <v>69</v>
      </c>
      <c r="AH8" t="s">
        <v>69</v>
      </c>
      <c r="AI8">
        <v>382</v>
      </c>
      <c r="AJ8" t="s">
        <v>147</v>
      </c>
      <c r="AK8" t="s">
        <v>69</v>
      </c>
      <c r="AL8" t="s">
        <v>148</v>
      </c>
      <c r="AM8" t="s">
        <v>69</v>
      </c>
      <c r="AN8">
        <v>146.14599999999999</v>
      </c>
      <c r="AO8" t="s">
        <v>69</v>
      </c>
      <c r="AP8" t="s">
        <v>69</v>
      </c>
      <c r="AQ8">
        <v>414</v>
      </c>
      <c r="AR8" t="s">
        <v>72</v>
      </c>
      <c r="AS8" t="s">
        <v>69</v>
      </c>
      <c r="AT8" t="s">
        <v>71</v>
      </c>
      <c r="AU8" t="s">
        <v>69</v>
      </c>
      <c r="AV8">
        <v>131.17500000000001</v>
      </c>
      <c r="AW8" t="s">
        <v>69</v>
      </c>
      <c r="AX8" t="s">
        <v>69</v>
      </c>
      <c r="AY8">
        <v>448</v>
      </c>
      <c r="AZ8" t="s">
        <v>74</v>
      </c>
      <c r="BA8" t="s">
        <v>69</v>
      </c>
      <c r="BB8" t="s">
        <v>75</v>
      </c>
      <c r="BC8" t="s">
        <v>69</v>
      </c>
      <c r="BD8">
        <v>174.203</v>
      </c>
      <c r="BE8" t="s">
        <v>69</v>
      </c>
      <c r="BF8" t="s">
        <v>69</v>
      </c>
      <c r="BG8">
        <v>478</v>
      </c>
      <c r="BH8" t="s">
        <v>119</v>
      </c>
      <c r="BI8" t="s">
        <v>69</v>
      </c>
      <c r="BJ8" t="s">
        <v>120</v>
      </c>
      <c r="BK8" t="s">
        <v>69</v>
      </c>
      <c r="BL8">
        <v>147.131</v>
      </c>
      <c r="BM8" t="s">
        <v>69</v>
      </c>
      <c r="BN8" t="s">
        <v>69</v>
      </c>
      <c r="BO8">
        <v>485</v>
      </c>
      <c r="BP8" t="s">
        <v>147</v>
      </c>
      <c r="BQ8" t="s">
        <v>69</v>
      </c>
      <c r="BR8" t="s">
        <v>148</v>
      </c>
      <c r="BS8" t="s">
        <v>69</v>
      </c>
      <c r="BT8">
        <v>146.14599999999999</v>
      </c>
      <c r="BU8" t="s">
        <v>69</v>
      </c>
      <c r="BV8" t="s">
        <v>69</v>
      </c>
      <c r="BW8">
        <v>545</v>
      </c>
      <c r="BX8" t="s">
        <v>249</v>
      </c>
      <c r="BY8" t="s">
        <v>69</v>
      </c>
      <c r="BZ8" t="s">
        <v>117</v>
      </c>
      <c r="CA8" t="s">
        <v>69</v>
      </c>
      <c r="CB8">
        <v>121.154</v>
      </c>
      <c r="CC8" t="s">
        <v>69</v>
      </c>
      <c r="CD8" t="s">
        <v>69</v>
      </c>
      <c r="CE8">
        <v>546</v>
      </c>
      <c r="CF8" t="s">
        <v>156</v>
      </c>
      <c r="CG8" t="s">
        <v>69</v>
      </c>
      <c r="CH8" t="s">
        <v>120</v>
      </c>
      <c r="CI8" t="s">
        <v>69</v>
      </c>
      <c r="CJ8">
        <v>133.10400000000001</v>
      </c>
      <c r="CK8" t="s">
        <v>69</v>
      </c>
      <c r="CL8" t="s">
        <v>69</v>
      </c>
      <c r="CM8">
        <v>557</v>
      </c>
      <c r="CN8" t="s">
        <v>115</v>
      </c>
      <c r="CO8" t="s">
        <v>69</v>
      </c>
      <c r="CP8" t="s">
        <v>71</v>
      </c>
      <c r="CQ8" t="s">
        <v>69</v>
      </c>
      <c r="CR8">
        <v>117.148</v>
      </c>
      <c r="CS8" t="s">
        <v>69</v>
      </c>
      <c r="CT8" t="s">
        <v>69</v>
      </c>
      <c r="CU8">
        <v>581</v>
      </c>
      <c r="CV8" t="s">
        <v>119</v>
      </c>
      <c r="CW8" t="s">
        <v>69</v>
      </c>
      <c r="CX8" t="s">
        <v>120</v>
      </c>
      <c r="CY8" t="s">
        <v>69</v>
      </c>
      <c r="CZ8">
        <v>147.131</v>
      </c>
      <c r="DA8" t="s">
        <v>69</v>
      </c>
      <c r="DB8" t="s">
        <v>69</v>
      </c>
      <c r="DC8">
        <v>595</v>
      </c>
      <c r="DD8" t="s">
        <v>147</v>
      </c>
      <c r="DE8" t="s">
        <v>69</v>
      </c>
      <c r="DF8" t="s">
        <v>148</v>
      </c>
      <c r="DG8" t="s">
        <v>69</v>
      </c>
      <c r="DH8">
        <v>146.14599999999999</v>
      </c>
      <c r="DI8" t="s">
        <v>69</v>
      </c>
      <c r="DJ8" t="s">
        <v>69</v>
      </c>
    </row>
    <row r="9" spans="1:114" x14ac:dyDescent="0.25">
      <c r="A9">
        <v>7</v>
      </c>
      <c r="B9" t="str">
        <f>HYPERLINK("http://www.ncbi.nlm.nih.gov/protein/XP_044107154.1","XP_044107154.1")</f>
        <v>XP_044107154.1</v>
      </c>
      <c r="C9">
        <v>44640</v>
      </c>
      <c r="D9" t="str">
        <f>HYPERLINK("http://www.ncbi.nlm.nih.gov/Taxonomy/Browser/wwwtax.cgi?mode=Info&amp;id=452646&amp;lvl=3&amp;lin=f&amp;keep=1&amp;srchmode=1&amp;unlock","452646")</f>
        <v>452646</v>
      </c>
      <c r="E9" t="s">
        <v>66</v>
      </c>
      <c r="F9" t="str">
        <f>HYPERLINK("http://www.ncbi.nlm.nih.gov/Taxonomy/Browser/wwwtax.cgi?mode=Info&amp;id=452646&amp;lvl=3&amp;lin=f&amp;keep=1&amp;srchmode=1&amp;unlock","Neogale vison")</f>
        <v>Neogale vison</v>
      </c>
      <c r="G9" t="s">
        <v>96</v>
      </c>
      <c r="H9" t="str">
        <f>HYPERLINK("http://www.ncbi.nlm.nih.gov/protein/XP_044107154.1","mitochondrial import receptor subunit TOM70")</f>
        <v>mitochondrial import receptor subunit TOM70</v>
      </c>
      <c r="I9" t="s">
        <v>270</v>
      </c>
      <c r="J9" t="s">
        <v>69</v>
      </c>
      <c r="K9">
        <v>220</v>
      </c>
      <c r="L9" t="s">
        <v>151</v>
      </c>
      <c r="M9" t="s">
        <v>69</v>
      </c>
      <c r="N9" t="s">
        <v>152</v>
      </c>
      <c r="O9" t="s">
        <v>69</v>
      </c>
      <c r="P9">
        <v>165.19200000000001</v>
      </c>
      <c r="Q9" t="s">
        <v>69</v>
      </c>
      <c r="R9" t="s">
        <v>69</v>
      </c>
      <c r="S9">
        <v>226</v>
      </c>
      <c r="T9" t="s">
        <v>116</v>
      </c>
      <c r="U9" t="s">
        <v>69</v>
      </c>
      <c r="V9" t="s">
        <v>117</v>
      </c>
      <c r="W9" t="s">
        <v>69</v>
      </c>
      <c r="X9">
        <v>149.208</v>
      </c>
      <c r="Y9" t="s">
        <v>69</v>
      </c>
      <c r="Z9" t="s">
        <v>69</v>
      </c>
      <c r="AA9">
        <v>380</v>
      </c>
      <c r="AB9" t="s">
        <v>147</v>
      </c>
      <c r="AC9" t="s">
        <v>69</v>
      </c>
      <c r="AD9" t="s">
        <v>148</v>
      </c>
      <c r="AE9" t="s">
        <v>69</v>
      </c>
      <c r="AF9">
        <v>146.14599999999999</v>
      </c>
      <c r="AG9" t="s">
        <v>69</v>
      </c>
      <c r="AH9" t="s">
        <v>69</v>
      </c>
      <c r="AI9">
        <v>382</v>
      </c>
      <c r="AJ9" t="s">
        <v>147</v>
      </c>
      <c r="AK9" t="s">
        <v>69</v>
      </c>
      <c r="AL9" t="s">
        <v>148</v>
      </c>
      <c r="AM9" t="s">
        <v>69</v>
      </c>
      <c r="AN9">
        <v>146.14599999999999</v>
      </c>
      <c r="AO9" t="s">
        <v>69</v>
      </c>
      <c r="AP9" t="s">
        <v>69</v>
      </c>
      <c r="AQ9">
        <v>414</v>
      </c>
      <c r="AR9" t="s">
        <v>72</v>
      </c>
      <c r="AS9" t="s">
        <v>69</v>
      </c>
      <c r="AT9" t="s">
        <v>71</v>
      </c>
      <c r="AU9" t="s">
        <v>69</v>
      </c>
      <c r="AV9">
        <v>131.17500000000001</v>
      </c>
      <c r="AW9" t="s">
        <v>69</v>
      </c>
      <c r="AX9" t="s">
        <v>69</v>
      </c>
      <c r="AY9">
        <v>448</v>
      </c>
      <c r="AZ9" t="s">
        <v>74</v>
      </c>
      <c r="BA9" t="s">
        <v>69</v>
      </c>
      <c r="BB9" t="s">
        <v>75</v>
      </c>
      <c r="BC9" t="s">
        <v>69</v>
      </c>
      <c r="BD9">
        <v>174.203</v>
      </c>
      <c r="BE9" t="s">
        <v>69</v>
      </c>
      <c r="BF9" t="s">
        <v>69</v>
      </c>
      <c r="BG9">
        <v>478</v>
      </c>
      <c r="BH9" t="s">
        <v>119</v>
      </c>
      <c r="BI9" t="s">
        <v>69</v>
      </c>
      <c r="BJ9" t="s">
        <v>120</v>
      </c>
      <c r="BK9" t="s">
        <v>69</v>
      </c>
      <c r="BL9">
        <v>147.131</v>
      </c>
      <c r="BM9" t="s">
        <v>69</v>
      </c>
      <c r="BN9" t="s">
        <v>69</v>
      </c>
      <c r="BO9">
        <v>485</v>
      </c>
      <c r="BP9" t="s">
        <v>147</v>
      </c>
      <c r="BQ9" t="s">
        <v>69</v>
      </c>
      <c r="BR9" t="s">
        <v>148</v>
      </c>
      <c r="BS9" t="s">
        <v>69</v>
      </c>
      <c r="BT9">
        <v>146.14599999999999</v>
      </c>
      <c r="BU9" t="s">
        <v>69</v>
      </c>
      <c r="BV9" t="s">
        <v>69</v>
      </c>
      <c r="BW9">
        <v>545</v>
      </c>
      <c r="BX9" t="s">
        <v>249</v>
      </c>
      <c r="BY9" t="s">
        <v>69</v>
      </c>
      <c r="BZ9" t="s">
        <v>117</v>
      </c>
      <c r="CA9" t="s">
        <v>69</v>
      </c>
      <c r="CB9">
        <v>121.154</v>
      </c>
      <c r="CC9" t="s">
        <v>69</v>
      </c>
      <c r="CD9" t="s">
        <v>69</v>
      </c>
      <c r="CE9">
        <v>546</v>
      </c>
      <c r="CF9" t="s">
        <v>156</v>
      </c>
      <c r="CG9" t="s">
        <v>69</v>
      </c>
      <c r="CH9" t="s">
        <v>120</v>
      </c>
      <c r="CI9" t="s">
        <v>69</v>
      </c>
      <c r="CJ9">
        <v>133.10400000000001</v>
      </c>
      <c r="CK9" t="s">
        <v>69</v>
      </c>
      <c r="CL9" t="s">
        <v>69</v>
      </c>
      <c r="CM9">
        <v>557</v>
      </c>
      <c r="CN9" t="s">
        <v>115</v>
      </c>
      <c r="CO9" t="s">
        <v>69</v>
      </c>
      <c r="CP9" t="s">
        <v>71</v>
      </c>
      <c r="CQ9" t="s">
        <v>69</v>
      </c>
      <c r="CR9">
        <v>117.148</v>
      </c>
      <c r="CS9" t="s">
        <v>69</v>
      </c>
      <c r="CT9" t="s">
        <v>69</v>
      </c>
      <c r="CU9">
        <v>581</v>
      </c>
      <c r="CV9" t="s">
        <v>119</v>
      </c>
      <c r="CW9" t="s">
        <v>69</v>
      </c>
      <c r="CX9" t="s">
        <v>120</v>
      </c>
      <c r="CY9" t="s">
        <v>69</v>
      </c>
      <c r="CZ9">
        <v>147.131</v>
      </c>
      <c r="DA9" t="s">
        <v>69</v>
      </c>
      <c r="DB9" t="s">
        <v>69</v>
      </c>
      <c r="DC9">
        <v>595</v>
      </c>
      <c r="DD9" t="s">
        <v>147</v>
      </c>
      <c r="DE9" t="s">
        <v>69</v>
      </c>
      <c r="DF9" t="s">
        <v>148</v>
      </c>
      <c r="DG9" t="s">
        <v>69</v>
      </c>
      <c r="DH9">
        <v>146.14599999999999</v>
      </c>
      <c r="DI9" t="s">
        <v>69</v>
      </c>
      <c r="DJ9" t="s">
        <v>69</v>
      </c>
    </row>
    <row r="10" spans="1:114" x14ac:dyDescent="0.25">
      <c r="A10">
        <v>7</v>
      </c>
      <c r="B10" t="str">
        <f>HYPERLINK("http://www.ncbi.nlm.nih.gov/protein/XP_045858522.1","XP_045858522.1")</f>
        <v>XP_045858522.1</v>
      </c>
      <c r="C10">
        <v>50752</v>
      </c>
      <c r="D10" t="str">
        <f>HYPERLINK("http://www.ncbi.nlm.nih.gov/Taxonomy/Browser/wwwtax.cgi?mode=Info&amp;id=9662&amp;lvl=3&amp;lin=f&amp;keep=1&amp;srchmode=1&amp;unlock","9662")</f>
        <v>9662</v>
      </c>
      <c r="E10" t="s">
        <v>66</v>
      </c>
      <c r="F10" t="str">
        <f>HYPERLINK("http://www.ncbi.nlm.nih.gov/Taxonomy/Browser/wwwtax.cgi?mode=Info&amp;id=9662&amp;lvl=3&amp;lin=f&amp;keep=1&amp;srchmode=1&amp;unlock","Meles meles")</f>
        <v>Meles meles</v>
      </c>
      <c r="G10" t="s">
        <v>99</v>
      </c>
      <c r="H10" t="str">
        <f>HYPERLINK("http://www.ncbi.nlm.nih.gov/protein/XP_045858522.1","mitochondrial import receptor subunit TOM70")</f>
        <v>mitochondrial import receptor subunit TOM70</v>
      </c>
      <c r="I10" t="s">
        <v>270</v>
      </c>
      <c r="J10" t="s">
        <v>69</v>
      </c>
      <c r="K10">
        <v>220</v>
      </c>
      <c r="L10" t="s">
        <v>151</v>
      </c>
      <c r="M10" t="s">
        <v>69</v>
      </c>
      <c r="N10" t="s">
        <v>152</v>
      </c>
      <c r="O10" t="s">
        <v>69</v>
      </c>
      <c r="P10">
        <v>165.19200000000001</v>
      </c>
      <c r="Q10" t="s">
        <v>69</v>
      </c>
      <c r="R10" t="s">
        <v>69</v>
      </c>
      <c r="S10">
        <v>226</v>
      </c>
      <c r="T10" t="s">
        <v>116</v>
      </c>
      <c r="U10" t="s">
        <v>69</v>
      </c>
      <c r="V10" t="s">
        <v>117</v>
      </c>
      <c r="W10" t="s">
        <v>69</v>
      </c>
      <c r="X10">
        <v>149.208</v>
      </c>
      <c r="Y10" t="s">
        <v>69</v>
      </c>
      <c r="Z10" t="s">
        <v>69</v>
      </c>
      <c r="AA10">
        <v>380</v>
      </c>
      <c r="AB10" t="s">
        <v>147</v>
      </c>
      <c r="AC10" t="s">
        <v>69</v>
      </c>
      <c r="AD10" t="s">
        <v>148</v>
      </c>
      <c r="AE10" t="s">
        <v>69</v>
      </c>
      <c r="AF10">
        <v>146.14599999999999</v>
      </c>
      <c r="AG10" t="s">
        <v>69</v>
      </c>
      <c r="AH10" t="s">
        <v>69</v>
      </c>
      <c r="AI10">
        <v>382</v>
      </c>
      <c r="AJ10" t="s">
        <v>147</v>
      </c>
      <c r="AK10" t="s">
        <v>69</v>
      </c>
      <c r="AL10" t="s">
        <v>148</v>
      </c>
      <c r="AM10" t="s">
        <v>69</v>
      </c>
      <c r="AN10">
        <v>146.14599999999999</v>
      </c>
      <c r="AO10" t="s">
        <v>69</v>
      </c>
      <c r="AP10" t="s">
        <v>69</v>
      </c>
      <c r="AQ10">
        <v>414</v>
      </c>
      <c r="AR10" t="s">
        <v>72</v>
      </c>
      <c r="AS10" t="s">
        <v>69</v>
      </c>
      <c r="AT10" t="s">
        <v>71</v>
      </c>
      <c r="AU10" t="s">
        <v>69</v>
      </c>
      <c r="AV10">
        <v>131.17500000000001</v>
      </c>
      <c r="AW10" t="s">
        <v>69</v>
      </c>
      <c r="AX10" t="s">
        <v>69</v>
      </c>
      <c r="AY10">
        <v>448</v>
      </c>
      <c r="AZ10" t="s">
        <v>74</v>
      </c>
      <c r="BA10" t="s">
        <v>69</v>
      </c>
      <c r="BB10" t="s">
        <v>75</v>
      </c>
      <c r="BC10" t="s">
        <v>69</v>
      </c>
      <c r="BD10">
        <v>174.203</v>
      </c>
      <c r="BE10" t="s">
        <v>69</v>
      </c>
      <c r="BF10" t="s">
        <v>69</v>
      </c>
      <c r="BG10">
        <v>478</v>
      </c>
      <c r="BH10" t="s">
        <v>119</v>
      </c>
      <c r="BI10" t="s">
        <v>69</v>
      </c>
      <c r="BJ10" t="s">
        <v>120</v>
      </c>
      <c r="BK10" t="s">
        <v>69</v>
      </c>
      <c r="BL10">
        <v>147.131</v>
      </c>
      <c r="BM10" t="s">
        <v>69</v>
      </c>
      <c r="BN10" t="s">
        <v>69</v>
      </c>
      <c r="BO10">
        <v>485</v>
      </c>
      <c r="BP10" t="s">
        <v>147</v>
      </c>
      <c r="BQ10" t="s">
        <v>69</v>
      </c>
      <c r="BR10" t="s">
        <v>148</v>
      </c>
      <c r="BS10" t="s">
        <v>69</v>
      </c>
      <c r="BT10">
        <v>146.14599999999999</v>
      </c>
      <c r="BU10" t="s">
        <v>69</v>
      </c>
      <c r="BV10" t="s">
        <v>69</v>
      </c>
      <c r="BW10">
        <v>545</v>
      </c>
      <c r="BX10" t="s">
        <v>249</v>
      </c>
      <c r="BY10" t="s">
        <v>69</v>
      </c>
      <c r="BZ10" t="s">
        <v>117</v>
      </c>
      <c r="CA10" t="s">
        <v>69</v>
      </c>
      <c r="CB10">
        <v>121.154</v>
      </c>
      <c r="CC10" t="s">
        <v>69</v>
      </c>
      <c r="CD10" t="s">
        <v>69</v>
      </c>
      <c r="CE10">
        <v>546</v>
      </c>
      <c r="CF10" t="s">
        <v>156</v>
      </c>
      <c r="CG10" t="s">
        <v>69</v>
      </c>
      <c r="CH10" t="s">
        <v>120</v>
      </c>
      <c r="CI10" t="s">
        <v>69</v>
      </c>
      <c r="CJ10">
        <v>133.10400000000001</v>
      </c>
      <c r="CK10" t="s">
        <v>69</v>
      </c>
      <c r="CL10" t="s">
        <v>69</v>
      </c>
      <c r="CM10">
        <v>557</v>
      </c>
      <c r="CN10" t="s">
        <v>115</v>
      </c>
      <c r="CO10" t="s">
        <v>69</v>
      </c>
      <c r="CP10" t="s">
        <v>71</v>
      </c>
      <c r="CQ10" t="s">
        <v>69</v>
      </c>
      <c r="CR10">
        <v>117.148</v>
      </c>
      <c r="CS10" t="s">
        <v>69</v>
      </c>
      <c r="CT10" t="s">
        <v>69</v>
      </c>
      <c r="CU10">
        <v>581</v>
      </c>
      <c r="CV10" t="s">
        <v>119</v>
      </c>
      <c r="CW10" t="s">
        <v>69</v>
      </c>
      <c r="CX10" t="s">
        <v>120</v>
      </c>
      <c r="CY10" t="s">
        <v>69</v>
      </c>
      <c r="CZ10">
        <v>147.131</v>
      </c>
      <c r="DA10" t="s">
        <v>69</v>
      </c>
      <c r="DB10" t="s">
        <v>69</v>
      </c>
      <c r="DC10">
        <v>595</v>
      </c>
      <c r="DD10" t="s">
        <v>147</v>
      </c>
      <c r="DE10" t="s">
        <v>69</v>
      </c>
      <c r="DF10" t="s">
        <v>148</v>
      </c>
      <c r="DG10" t="s">
        <v>69</v>
      </c>
      <c r="DH10">
        <v>146.14599999999999</v>
      </c>
      <c r="DI10" t="s">
        <v>69</v>
      </c>
      <c r="DJ10" t="s">
        <v>69</v>
      </c>
    </row>
    <row r="11" spans="1:114" x14ac:dyDescent="0.25">
      <c r="A11">
        <v>7</v>
      </c>
      <c r="B11" t="str">
        <f>HYPERLINK("http://www.ncbi.nlm.nih.gov/protein/XP_016000189.1","XP_016000189.1")</f>
        <v>XP_016000189.1</v>
      </c>
      <c r="C11">
        <v>117142</v>
      </c>
      <c r="D11" t="str">
        <f>HYPERLINK("http://www.ncbi.nlm.nih.gov/Taxonomy/Browser/wwwtax.cgi?mode=Info&amp;id=9407&amp;lvl=3&amp;lin=f&amp;keep=1&amp;srchmode=1&amp;unlock","9407")</f>
        <v>9407</v>
      </c>
      <c r="E11" t="s">
        <v>66</v>
      </c>
      <c r="F11" t="str">
        <f>HYPERLINK("http://www.ncbi.nlm.nih.gov/Taxonomy/Browser/wwwtax.cgi?mode=Info&amp;id=9407&amp;lvl=3&amp;lin=f&amp;keep=1&amp;srchmode=1&amp;unlock","Rousettus aegyptiacus")</f>
        <v>Rousettus aegyptiacus</v>
      </c>
      <c r="G11" t="s">
        <v>103</v>
      </c>
      <c r="H11" t="str">
        <f>HYPERLINK("http://www.ncbi.nlm.nih.gov/protein/XP_016000189.1","mitochondrial import receptor subunit TOM70")</f>
        <v>mitochondrial import receptor subunit TOM70</v>
      </c>
      <c r="I11" t="s">
        <v>270</v>
      </c>
      <c r="J11" t="s">
        <v>69</v>
      </c>
      <c r="K11">
        <v>220</v>
      </c>
      <c r="L11" t="s">
        <v>151</v>
      </c>
      <c r="M11" t="s">
        <v>69</v>
      </c>
      <c r="N11" t="s">
        <v>152</v>
      </c>
      <c r="O11" t="s">
        <v>69</v>
      </c>
      <c r="P11">
        <v>165.19200000000001</v>
      </c>
      <c r="Q11" t="s">
        <v>69</v>
      </c>
      <c r="R11" t="s">
        <v>69</v>
      </c>
      <c r="S11">
        <v>226</v>
      </c>
      <c r="T11" t="s">
        <v>116</v>
      </c>
      <c r="U11" t="s">
        <v>69</v>
      </c>
      <c r="V11" t="s">
        <v>117</v>
      </c>
      <c r="W11" t="s">
        <v>69</v>
      </c>
      <c r="X11">
        <v>149.208</v>
      </c>
      <c r="Y11" t="s">
        <v>69</v>
      </c>
      <c r="Z11" t="s">
        <v>69</v>
      </c>
      <c r="AA11">
        <v>380</v>
      </c>
      <c r="AB11" t="s">
        <v>147</v>
      </c>
      <c r="AC11" t="s">
        <v>69</v>
      </c>
      <c r="AD11" t="s">
        <v>148</v>
      </c>
      <c r="AE11" t="s">
        <v>69</v>
      </c>
      <c r="AF11">
        <v>146.14599999999999</v>
      </c>
      <c r="AG11" t="s">
        <v>69</v>
      </c>
      <c r="AH11" t="s">
        <v>69</v>
      </c>
      <c r="AI11">
        <v>382</v>
      </c>
      <c r="AJ11" t="s">
        <v>147</v>
      </c>
      <c r="AK11" t="s">
        <v>69</v>
      </c>
      <c r="AL11" t="s">
        <v>148</v>
      </c>
      <c r="AM11" t="s">
        <v>69</v>
      </c>
      <c r="AN11">
        <v>146.14599999999999</v>
      </c>
      <c r="AO11" t="s">
        <v>69</v>
      </c>
      <c r="AP11" t="s">
        <v>69</v>
      </c>
      <c r="AQ11">
        <v>414</v>
      </c>
      <c r="AR11" t="s">
        <v>72</v>
      </c>
      <c r="AS11" t="s">
        <v>69</v>
      </c>
      <c r="AT11" t="s">
        <v>71</v>
      </c>
      <c r="AU11" t="s">
        <v>69</v>
      </c>
      <c r="AV11">
        <v>131.17500000000001</v>
      </c>
      <c r="AW11" t="s">
        <v>69</v>
      </c>
      <c r="AX11" t="s">
        <v>69</v>
      </c>
      <c r="AY11">
        <v>448</v>
      </c>
      <c r="AZ11" t="s">
        <v>74</v>
      </c>
      <c r="BA11" t="s">
        <v>69</v>
      </c>
      <c r="BB11" t="s">
        <v>75</v>
      </c>
      <c r="BC11" t="s">
        <v>69</v>
      </c>
      <c r="BD11">
        <v>174.203</v>
      </c>
      <c r="BE11" t="s">
        <v>69</v>
      </c>
      <c r="BF11" t="s">
        <v>69</v>
      </c>
      <c r="BG11">
        <v>478</v>
      </c>
      <c r="BH11" t="s">
        <v>119</v>
      </c>
      <c r="BI11" t="s">
        <v>69</v>
      </c>
      <c r="BJ11" t="s">
        <v>120</v>
      </c>
      <c r="BK11" t="s">
        <v>69</v>
      </c>
      <c r="BL11">
        <v>147.131</v>
      </c>
      <c r="BM11" t="s">
        <v>69</v>
      </c>
      <c r="BN11" t="s">
        <v>69</v>
      </c>
      <c r="BO11">
        <v>485</v>
      </c>
      <c r="BP11" t="s">
        <v>147</v>
      </c>
      <c r="BQ11" t="s">
        <v>69</v>
      </c>
      <c r="BR11" t="s">
        <v>148</v>
      </c>
      <c r="BS11" t="s">
        <v>69</v>
      </c>
      <c r="BT11">
        <v>146.14599999999999</v>
      </c>
      <c r="BU11" t="s">
        <v>69</v>
      </c>
      <c r="BV11" t="s">
        <v>69</v>
      </c>
      <c r="BW11">
        <v>545</v>
      </c>
      <c r="BX11" t="s">
        <v>249</v>
      </c>
      <c r="BY11" t="s">
        <v>69</v>
      </c>
      <c r="BZ11" t="s">
        <v>117</v>
      </c>
      <c r="CA11" t="s">
        <v>69</v>
      </c>
      <c r="CB11">
        <v>121.154</v>
      </c>
      <c r="CC11" t="s">
        <v>69</v>
      </c>
      <c r="CD11" t="s">
        <v>69</v>
      </c>
      <c r="CE11">
        <v>546</v>
      </c>
      <c r="CF11" t="s">
        <v>156</v>
      </c>
      <c r="CG11" t="s">
        <v>69</v>
      </c>
      <c r="CH11" t="s">
        <v>120</v>
      </c>
      <c r="CI11" t="s">
        <v>69</v>
      </c>
      <c r="CJ11">
        <v>133.10400000000001</v>
      </c>
      <c r="CK11" t="s">
        <v>69</v>
      </c>
      <c r="CL11" t="s">
        <v>69</v>
      </c>
      <c r="CM11">
        <v>557</v>
      </c>
      <c r="CN11" t="s">
        <v>115</v>
      </c>
      <c r="CO11" t="s">
        <v>69</v>
      </c>
      <c r="CP11" t="s">
        <v>71</v>
      </c>
      <c r="CQ11" t="s">
        <v>69</v>
      </c>
      <c r="CR11">
        <v>117.148</v>
      </c>
      <c r="CS11" t="s">
        <v>69</v>
      </c>
      <c r="CT11" t="s">
        <v>69</v>
      </c>
      <c r="CU11">
        <v>581</v>
      </c>
      <c r="CV11" t="s">
        <v>119</v>
      </c>
      <c r="CW11" t="s">
        <v>69</v>
      </c>
      <c r="CX11" t="s">
        <v>120</v>
      </c>
      <c r="CY11" t="s">
        <v>69</v>
      </c>
      <c r="CZ11">
        <v>147.131</v>
      </c>
      <c r="DA11" t="s">
        <v>69</v>
      </c>
      <c r="DB11" t="s">
        <v>69</v>
      </c>
      <c r="DC11">
        <v>595</v>
      </c>
      <c r="DD11" t="s">
        <v>147</v>
      </c>
      <c r="DE11" t="s">
        <v>69</v>
      </c>
      <c r="DF11" t="s">
        <v>148</v>
      </c>
      <c r="DG11" t="s">
        <v>69</v>
      </c>
      <c r="DH11">
        <v>146.14599999999999</v>
      </c>
      <c r="DI11" t="s">
        <v>69</v>
      </c>
      <c r="DJ11" t="s">
        <v>69</v>
      </c>
    </row>
    <row r="12" spans="1:114" x14ac:dyDescent="0.25">
      <c r="A12">
        <v>7</v>
      </c>
      <c r="B12" t="str">
        <f>HYPERLINK("http://www.ncbi.nlm.nih.gov/protein/XP_003991631.1","XP_003991631.1")</f>
        <v>XP_003991631.1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HYPERLINK("http://www.ncbi.nlm.nih.gov/protein/XP_003991631.1","mitochondrial import receptor subunit TOM70")</f>
        <v>mitochondrial import receptor subunit TOM70</v>
      </c>
      <c r="I12" t="s">
        <v>270</v>
      </c>
      <c r="J12" t="s">
        <v>69</v>
      </c>
      <c r="K12">
        <v>220</v>
      </c>
      <c r="L12" t="s">
        <v>151</v>
      </c>
      <c r="M12" t="s">
        <v>69</v>
      </c>
      <c r="N12" t="s">
        <v>152</v>
      </c>
      <c r="O12" t="s">
        <v>69</v>
      </c>
      <c r="P12">
        <v>165.19200000000001</v>
      </c>
      <c r="Q12" t="s">
        <v>69</v>
      </c>
      <c r="R12" t="s">
        <v>69</v>
      </c>
      <c r="S12">
        <v>226</v>
      </c>
      <c r="T12" t="s">
        <v>116</v>
      </c>
      <c r="U12" t="s">
        <v>69</v>
      </c>
      <c r="V12" t="s">
        <v>117</v>
      </c>
      <c r="W12" t="s">
        <v>69</v>
      </c>
      <c r="X12">
        <v>149.208</v>
      </c>
      <c r="Y12" t="s">
        <v>69</v>
      </c>
      <c r="Z12" t="s">
        <v>69</v>
      </c>
      <c r="AA12">
        <v>380</v>
      </c>
      <c r="AB12" t="s">
        <v>147</v>
      </c>
      <c r="AC12" t="s">
        <v>69</v>
      </c>
      <c r="AD12" t="s">
        <v>148</v>
      </c>
      <c r="AE12" t="s">
        <v>69</v>
      </c>
      <c r="AF12">
        <v>146.14599999999999</v>
      </c>
      <c r="AG12" t="s">
        <v>69</v>
      </c>
      <c r="AH12" t="s">
        <v>69</v>
      </c>
      <c r="AI12">
        <v>382</v>
      </c>
      <c r="AJ12" t="s">
        <v>147</v>
      </c>
      <c r="AK12" t="s">
        <v>69</v>
      </c>
      <c r="AL12" t="s">
        <v>148</v>
      </c>
      <c r="AM12" t="s">
        <v>69</v>
      </c>
      <c r="AN12">
        <v>146.14599999999999</v>
      </c>
      <c r="AO12" t="s">
        <v>69</v>
      </c>
      <c r="AP12" t="s">
        <v>69</v>
      </c>
      <c r="AQ12">
        <v>414</v>
      </c>
      <c r="AR12" t="s">
        <v>72</v>
      </c>
      <c r="AS12" t="s">
        <v>69</v>
      </c>
      <c r="AT12" t="s">
        <v>71</v>
      </c>
      <c r="AU12" t="s">
        <v>69</v>
      </c>
      <c r="AV12">
        <v>131.17500000000001</v>
      </c>
      <c r="AW12" t="s">
        <v>69</v>
      </c>
      <c r="AX12" t="s">
        <v>69</v>
      </c>
      <c r="AY12">
        <v>448</v>
      </c>
      <c r="AZ12" t="s">
        <v>74</v>
      </c>
      <c r="BA12" t="s">
        <v>69</v>
      </c>
      <c r="BB12" t="s">
        <v>75</v>
      </c>
      <c r="BC12" t="s">
        <v>69</v>
      </c>
      <c r="BD12">
        <v>174.203</v>
      </c>
      <c r="BE12" t="s">
        <v>69</v>
      </c>
      <c r="BF12" t="s">
        <v>69</v>
      </c>
      <c r="BG12">
        <v>478</v>
      </c>
      <c r="BH12" t="s">
        <v>119</v>
      </c>
      <c r="BI12" t="s">
        <v>69</v>
      </c>
      <c r="BJ12" t="s">
        <v>120</v>
      </c>
      <c r="BK12" t="s">
        <v>69</v>
      </c>
      <c r="BL12">
        <v>147.131</v>
      </c>
      <c r="BM12" t="s">
        <v>69</v>
      </c>
      <c r="BN12" t="s">
        <v>69</v>
      </c>
      <c r="BO12">
        <v>485</v>
      </c>
      <c r="BP12" t="s">
        <v>147</v>
      </c>
      <c r="BQ12" t="s">
        <v>69</v>
      </c>
      <c r="BR12" t="s">
        <v>148</v>
      </c>
      <c r="BS12" t="s">
        <v>69</v>
      </c>
      <c r="BT12">
        <v>146.14599999999999</v>
      </c>
      <c r="BU12" t="s">
        <v>69</v>
      </c>
      <c r="BV12" t="s">
        <v>69</v>
      </c>
      <c r="BW12">
        <v>545</v>
      </c>
      <c r="BX12" t="s">
        <v>249</v>
      </c>
      <c r="BY12" t="s">
        <v>69</v>
      </c>
      <c r="BZ12" t="s">
        <v>117</v>
      </c>
      <c r="CA12" t="s">
        <v>69</v>
      </c>
      <c r="CB12">
        <v>121.154</v>
      </c>
      <c r="CC12" t="s">
        <v>69</v>
      </c>
      <c r="CD12" t="s">
        <v>69</v>
      </c>
      <c r="CE12">
        <v>546</v>
      </c>
      <c r="CF12" t="s">
        <v>156</v>
      </c>
      <c r="CG12" t="s">
        <v>69</v>
      </c>
      <c r="CH12" t="s">
        <v>120</v>
      </c>
      <c r="CI12" t="s">
        <v>69</v>
      </c>
      <c r="CJ12">
        <v>133.10400000000001</v>
      </c>
      <c r="CK12" t="s">
        <v>69</v>
      </c>
      <c r="CL12" t="s">
        <v>69</v>
      </c>
      <c r="CM12">
        <v>557</v>
      </c>
      <c r="CN12" t="s">
        <v>115</v>
      </c>
      <c r="CO12" t="s">
        <v>69</v>
      </c>
      <c r="CP12" t="s">
        <v>71</v>
      </c>
      <c r="CQ12" t="s">
        <v>69</v>
      </c>
      <c r="CR12">
        <v>117.148</v>
      </c>
      <c r="CS12" t="s">
        <v>69</v>
      </c>
      <c r="CT12" t="s">
        <v>69</v>
      </c>
      <c r="CU12">
        <v>581</v>
      </c>
      <c r="CV12" t="s">
        <v>119</v>
      </c>
      <c r="CW12" t="s">
        <v>69</v>
      </c>
      <c r="CX12" t="s">
        <v>120</v>
      </c>
      <c r="CY12" t="s">
        <v>69</v>
      </c>
      <c r="CZ12">
        <v>147.131</v>
      </c>
      <c r="DA12" t="s">
        <v>69</v>
      </c>
      <c r="DB12" t="s">
        <v>69</v>
      </c>
      <c r="DC12">
        <v>595</v>
      </c>
      <c r="DD12" t="s">
        <v>147</v>
      </c>
      <c r="DE12" t="s">
        <v>69</v>
      </c>
      <c r="DF12" t="s">
        <v>148</v>
      </c>
      <c r="DG12" t="s">
        <v>69</v>
      </c>
      <c r="DH12">
        <v>146.14599999999999</v>
      </c>
      <c r="DI12" t="s">
        <v>69</v>
      </c>
      <c r="DJ12" t="s">
        <v>69</v>
      </c>
    </row>
    <row r="13" spans="1:114" x14ac:dyDescent="0.25">
      <c r="A13">
        <v>7</v>
      </c>
      <c r="B13" t="str">
        <f>HYPERLINK("http://www.ncbi.nlm.nih.gov/protein/XP_042811247.1","XP_042811247.1")</f>
        <v>XP_042811247.1</v>
      </c>
      <c r="C13">
        <v>53677</v>
      </c>
      <c r="D13" t="str">
        <f>HYPERLINK("http://www.ncbi.nlm.nih.gov/Taxonomy/Browser/wwwtax.cgi?mode=Info&amp;id=9689&amp;lvl=3&amp;lin=f&amp;keep=1&amp;srchmode=1&amp;unlock","9689")</f>
        <v>9689</v>
      </c>
      <c r="E13" t="s">
        <v>66</v>
      </c>
      <c r="F13" t="str">
        <f>HYPERLINK("http://www.ncbi.nlm.nih.gov/Taxonomy/Browser/wwwtax.cgi?mode=Info&amp;id=9689&amp;lvl=3&amp;lin=f&amp;keep=1&amp;srchmode=1&amp;unlock","Panthera leo")</f>
        <v>Panthera leo</v>
      </c>
      <c r="G13" t="s">
        <v>90</v>
      </c>
      <c r="H13" t="str">
        <f>HYPERLINK("http://www.ncbi.nlm.nih.gov/protein/XP_042811247.1","mitochondrial import receptor subunit TOM70")</f>
        <v>mitochondrial import receptor subunit TOM70</v>
      </c>
      <c r="I13" t="s">
        <v>270</v>
      </c>
      <c r="J13" t="s">
        <v>69</v>
      </c>
      <c r="K13">
        <v>220</v>
      </c>
      <c r="L13" t="s">
        <v>151</v>
      </c>
      <c r="M13" t="s">
        <v>69</v>
      </c>
      <c r="N13" t="s">
        <v>152</v>
      </c>
      <c r="O13" t="s">
        <v>69</v>
      </c>
      <c r="P13">
        <v>165.19200000000001</v>
      </c>
      <c r="Q13" t="s">
        <v>69</v>
      </c>
      <c r="R13" t="s">
        <v>69</v>
      </c>
      <c r="S13">
        <v>226</v>
      </c>
      <c r="T13" t="s">
        <v>116</v>
      </c>
      <c r="U13" t="s">
        <v>69</v>
      </c>
      <c r="V13" t="s">
        <v>117</v>
      </c>
      <c r="W13" t="s">
        <v>69</v>
      </c>
      <c r="X13">
        <v>149.208</v>
      </c>
      <c r="Y13" t="s">
        <v>69</v>
      </c>
      <c r="Z13" t="s">
        <v>69</v>
      </c>
      <c r="AA13">
        <v>380</v>
      </c>
      <c r="AB13" t="s">
        <v>147</v>
      </c>
      <c r="AC13" t="s">
        <v>69</v>
      </c>
      <c r="AD13" t="s">
        <v>148</v>
      </c>
      <c r="AE13" t="s">
        <v>69</v>
      </c>
      <c r="AF13">
        <v>146.14599999999999</v>
      </c>
      <c r="AG13" t="s">
        <v>69</v>
      </c>
      <c r="AH13" t="s">
        <v>69</v>
      </c>
      <c r="AI13">
        <v>382</v>
      </c>
      <c r="AJ13" t="s">
        <v>147</v>
      </c>
      <c r="AK13" t="s">
        <v>69</v>
      </c>
      <c r="AL13" t="s">
        <v>148</v>
      </c>
      <c r="AM13" t="s">
        <v>69</v>
      </c>
      <c r="AN13">
        <v>146.14599999999999</v>
      </c>
      <c r="AO13" t="s">
        <v>69</v>
      </c>
      <c r="AP13" t="s">
        <v>69</v>
      </c>
      <c r="AQ13">
        <v>414</v>
      </c>
      <c r="AR13" t="s">
        <v>72</v>
      </c>
      <c r="AS13" t="s">
        <v>69</v>
      </c>
      <c r="AT13" t="s">
        <v>71</v>
      </c>
      <c r="AU13" t="s">
        <v>69</v>
      </c>
      <c r="AV13">
        <v>131.17500000000001</v>
      </c>
      <c r="AW13" t="s">
        <v>69</v>
      </c>
      <c r="AX13" t="s">
        <v>69</v>
      </c>
      <c r="AY13">
        <v>448</v>
      </c>
      <c r="AZ13" t="s">
        <v>74</v>
      </c>
      <c r="BA13" t="s">
        <v>69</v>
      </c>
      <c r="BB13" t="s">
        <v>75</v>
      </c>
      <c r="BC13" t="s">
        <v>69</v>
      </c>
      <c r="BD13">
        <v>174.203</v>
      </c>
      <c r="BE13" t="s">
        <v>69</v>
      </c>
      <c r="BF13" t="s">
        <v>69</v>
      </c>
      <c r="BG13">
        <v>478</v>
      </c>
      <c r="BH13" t="s">
        <v>119</v>
      </c>
      <c r="BI13" t="s">
        <v>69</v>
      </c>
      <c r="BJ13" t="s">
        <v>120</v>
      </c>
      <c r="BK13" t="s">
        <v>69</v>
      </c>
      <c r="BL13">
        <v>147.131</v>
      </c>
      <c r="BM13" t="s">
        <v>69</v>
      </c>
      <c r="BN13" t="s">
        <v>69</v>
      </c>
      <c r="BO13">
        <v>485</v>
      </c>
      <c r="BP13" t="s">
        <v>147</v>
      </c>
      <c r="BQ13" t="s">
        <v>69</v>
      </c>
      <c r="BR13" t="s">
        <v>148</v>
      </c>
      <c r="BS13" t="s">
        <v>69</v>
      </c>
      <c r="BT13">
        <v>146.14599999999999</v>
      </c>
      <c r="BU13" t="s">
        <v>69</v>
      </c>
      <c r="BV13" t="s">
        <v>69</v>
      </c>
      <c r="BW13">
        <v>545</v>
      </c>
      <c r="BX13" t="s">
        <v>249</v>
      </c>
      <c r="BY13" t="s">
        <v>69</v>
      </c>
      <c r="BZ13" t="s">
        <v>117</v>
      </c>
      <c r="CA13" t="s">
        <v>69</v>
      </c>
      <c r="CB13">
        <v>121.154</v>
      </c>
      <c r="CC13" t="s">
        <v>69</v>
      </c>
      <c r="CD13" t="s">
        <v>69</v>
      </c>
      <c r="CE13">
        <v>546</v>
      </c>
      <c r="CF13" t="s">
        <v>156</v>
      </c>
      <c r="CG13" t="s">
        <v>69</v>
      </c>
      <c r="CH13" t="s">
        <v>120</v>
      </c>
      <c r="CI13" t="s">
        <v>69</v>
      </c>
      <c r="CJ13">
        <v>133.10400000000001</v>
      </c>
      <c r="CK13" t="s">
        <v>69</v>
      </c>
      <c r="CL13" t="s">
        <v>69</v>
      </c>
      <c r="CM13">
        <v>557</v>
      </c>
      <c r="CN13" t="s">
        <v>115</v>
      </c>
      <c r="CO13" t="s">
        <v>69</v>
      </c>
      <c r="CP13" t="s">
        <v>71</v>
      </c>
      <c r="CQ13" t="s">
        <v>69</v>
      </c>
      <c r="CR13">
        <v>117.148</v>
      </c>
      <c r="CS13" t="s">
        <v>69</v>
      </c>
      <c r="CT13" t="s">
        <v>69</v>
      </c>
      <c r="CU13">
        <v>581</v>
      </c>
      <c r="CV13" t="s">
        <v>119</v>
      </c>
      <c r="CW13" t="s">
        <v>69</v>
      </c>
      <c r="CX13" t="s">
        <v>120</v>
      </c>
      <c r="CY13" t="s">
        <v>69</v>
      </c>
      <c r="CZ13">
        <v>147.131</v>
      </c>
      <c r="DA13" t="s">
        <v>69</v>
      </c>
      <c r="DB13" t="s">
        <v>69</v>
      </c>
      <c r="DC13">
        <v>595</v>
      </c>
      <c r="DD13" t="s">
        <v>147</v>
      </c>
      <c r="DE13" t="s">
        <v>69</v>
      </c>
      <c r="DF13" t="s">
        <v>148</v>
      </c>
      <c r="DG13" t="s">
        <v>69</v>
      </c>
      <c r="DH13">
        <v>146.14599999999999</v>
      </c>
      <c r="DI13" t="s">
        <v>69</v>
      </c>
      <c r="DJ13" t="s">
        <v>69</v>
      </c>
    </row>
    <row r="14" spans="1:114" x14ac:dyDescent="0.25">
      <c r="A14">
        <v>7</v>
      </c>
      <c r="B14" t="str">
        <f>HYPERLINK("http://www.ncbi.nlm.nih.gov/protein/XP_007096054.2","XP_007096054.2")</f>
        <v>XP_007096054.2</v>
      </c>
      <c r="C14">
        <v>56089</v>
      </c>
      <c r="D14" t="str">
        <f>HYPERLINK("http://www.ncbi.nlm.nih.gov/Taxonomy/Browser/wwwtax.cgi?mode=Info&amp;id=9694&amp;lvl=3&amp;lin=f&amp;keep=1&amp;srchmode=1&amp;unlock","9694")</f>
        <v>9694</v>
      </c>
      <c r="E14" t="s">
        <v>66</v>
      </c>
      <c r="F14" t="str">
        <f>HYPERLINK("http://www.ncbi.nlm.nih.gov/Taxonomy/Browser/wwwtax.cgi?mode=Info&amp;id=9694&amp;lvl=3&amp;lin=f&amp;keep=1&amp;srchmode=1&amp;unlock","Panthera tigris")</f>
        <v>Panthera tigris</v>
      </c>
      <c r="G14" t="s">
        <v>89</v>
      </c>
      <c r="H14" t="str">
        <f>HYPERLINK("http://www.ncbi.nlm.nih.gov/protein/XP_007096054.2","mitochondrial import receptor subunit TOM70")</f>
        <v>mitochondrial import receptor subunit TOM70</v>
      </c>
      <c r="I14" t="s">
        <v>270</v>
      </c>
      <c r="J14" t="s">
        <v>69</v>
      </c>
      <c r="K14">
        <v>220</v>
      </c>
      <c r="L14" t="s">
        <v>151</v>
      </c>
      <c r="M14" t="s">
        <v>69</v>
      </c>
      <c r="N14" t="s">
        <v>152</v>
      </c>
      <c r="O14" t="s">
        <v>69</v>
      </c>
      <c r="P14">
        <v>165.19200000000001</v>
      </c>
      <c r="Q14" t="s">
        <v>69</v>
      </c>
      <c r="R14" t="s">
        <v>69</v>
      </c>
      <c r="S14">
        <v>226</v>
      </c>
      <c r="T14" t="s">
        <v>116</v>
      </c>
      <c r="U14" t="s">
        <v>69</v>
      </c>
      <c r="V14" t="s">
        <v>117</v>
      </c>
      <c r="W14" t="s">
        <v>69</v>
      </c>
      <c r="X14">
        <v>149.208</v>
      </c>
      <c r="Y14" t="s">
        <v>69</v>
      </c>
      <c r="Z14" t="s">
        <v>69</v>
      </c>
      <c r="AA14">
        <v>380</v>
      </c>
      <c r="AB14" t="s">
        <v>147</v>
      </c>
      <c r="AC14" t="s">
        <v>69</v>
      </c>
      <c r="AD14" t="s">
        <v>148</v>
      </c>
      <c r="AE14" t="s">
        <v>69</v>
      </c>
      <c r="AF14">
        <v>146.14599999999999</v>
      </c>
      <c r="AG14" t="s">
        <v>69</v>
      </c>
      <c r="AH14" t="s">
        <v>69</v>
      </c>
      <c r="AI14">
        <v>382</v>
      </c>
      <c r="AJ14" t="s">
        <v>147</v>
      </c>
      <c r="AK14" t="s">
        <v>69</v>
      </c>
      <c r="AL14" t="s">
        <v>148</v>
      </c>
      <c r="AM14" t="s">
        <v>69</v>
      </c>
      <c r="AN14">
        <v>146.14599999999999</v>
      </c>
      <c r="AO14" t="s">
        <v>69</v>
      </c>
      <c r="AP14" t="s">
        <v>69</v>
      </c>
      <c r="AQ14">
        <v>414</v>
      </c>
      <c r="AR14" t="s">
        <v>72</v>
      </c>
      <c r="AS14" t="s">
        <v>69</v>
      </c>
      <c r="AT14" t="s">
        <v>71</v>
      </c>
      <c r="AU14" t="s">
        <v>69</v>
      </c>
      <c r="AV14">
        <v>131.17500000000001</v>
      </c>
      <c r="AW14" t="s">
        <v>69</v>
      </c>
      <c r="AX14" t="s">
        <v>69</v>
      </c>
      <c r="AY14">
        <v>448</v>
      </c>
      <c r="AZ14" t="s">
        <v>74</v>
      </c>
      <c r="BA14" t="s">
        <v>69</v>
      </c>
      <c r="BB14" t="s">
        <v>75</v>
      </c>
      <c r="BC14" t="s">
        <v>69</v>
      </c>
      <c r="BD14">
        <v>174.203</v>
      </c>
      <c r="BE14" t="s">
        <v>69</v>
      </c>
      <c r="BF14" t="s">
        <v>69</v>
      </c>
      <c r="BG14">
        <v>478</v>
      </c>
      <c r="BH14" t="s">
        <v>119</v>
      </c>
      <c r="BI14" t="s">
        <v>69</v>
      </c>
      <c r="BJ14" t="s">
        <v>120</v>
      </c>
      <c r="BK14" t="s">
        <v>69</v>
      </c>
      <c r="BL14">
        <v>147.131</v>
      </c>
      <c r="BM14" t="s">
        <v>69</v>
      </c>
      <c r="BN14" t="s">
        <v>69</v>
      </c>
      <c r="BO14">
        <v>485</v>
      </c>
      <c r="BP14" t="s">
        <v>147</v>
      </c>
      <c r="BQ14" t="s">
        <v>69</v>
      </c>
      <c r="BR14" t="s">
        <v>148</v>
      </c>
      <c r="BS14" t="s">
        <v>69</v>
      </c>
      <c r="BT14">
        <v>146.14599999999999</v>
      </c>
      <c r="BU14" t="s">
        <v>69</v>
      </c>
      <c r="BV14" t="s">
        <v>69</v>
      </c>
      <c r="BW14">
        <v>545</v>
      </c>
      <c r="BX14" t="s">
        <v>249</v>
      </c>
      <c r="BY14" t="s">
        <v>69</v>
      </c>
      <c r="BZ14" t="s">
        <v>117</v>
      </c>
      <c r="CA14" t="s">
        <v>69</v>
      </c>
      <c r="CB14">
        <v>121.154</v>
      </c>
      <c r="CC14" t="s">
        <v>69</v>
      </c>
      <c r="CD14" t="s">
        <v>69</v>
      </c>
      <c r="CE14">
        <v>546</v>
      </c>
      <c r="CF14" t="s">
        <v>156</v>
      </c>
      <c r="CG14" t="s">
        <v>69</v>
      </c>
      <c r="CH14" t="s">
        <v>120</v>
      </c>
      <c r="CI14" t="s">
        <v>69</v>
      </c>
      <c r="CJ14">
        <v>133.10400000000001</v>
      </c>
      <c r="CK14" t="s">
        <v>69</v>
      </c>
      <c r="CL14" t="s">
        <v>69</v>
      </c>
      <c r="CM14">
        <v>557</v>
      </c>
      <c r="CN14" t="s">
        <v>115</v>
      </c>
      <c r="CO14" t="s">
        <v>69</v>
      </c>
      <c r="CP14" t="s">
        <v>71</v>
      </c>
      <c r="CQ14" t="s">
        <v>69</v>
      </c>
      <c r="CR14">
        <v>117.148</v>
      </c>
      <c r="CS14" t="s">
        <v>69</v>
      </c>
      <c r="CT14" t="s">
        <v>69</v>
      </c>
      <c r="CU14">
        <v>581</v>
      </c>
      <c r="CV14" t="s">
        <v>119</v>
      </c>
      <c r="CW14" t="s">
        <v>69</v>
      </c>
      <c r="CX14" t="s">
        <v>120</v>
      </c>
      <c r="CY14" t="s">
        <v>69</v>
      </c>
      <c r="CZ14">
        <v>147.131</v>
      </c>
      <c r="DA14" t="s">
        <v>69</v>
      </c>
      <c r="DB14" t="s">
        <v>69</v>
      </c>
      <c r="DC14">
        <v>595</v>
      </c>
      <c r="DD14" t="s">
        <v>147</v>
      </c>
      <c r="DE14" t="s">
        <v>69</v>
      </c>
      <c r="DF14" t="s">
        <v>148</v>
      </c>
      <c r="DG14" t="s">
        <v>69</v>
      </c>
      <c r="DH14">
        <v>146.14599999999999</v>
      </c>
      <c r="DI14" t="s">
        <v>69</v>
      </c>
      <c r="DJ14" t="s">
        <v>69</v>
      </c>
    </row>
    <row r="15" spans="1:114" x14ac:dyDescent="0.25">
      <c r="A15">
        <v>7</v>
      </c>
      <c r="B15" t="str">
        <f>HYPERLINK("http://www.ncbi.nlm.nih.gov/protein/XP_025769782.1","XP_025769782.1")</f>
        <v>XP_025769782.1</v>
      </c>
      <c r="C15">
        <v>23623</v>
      </c>
      <c r="D15" t="str">
        <f>HYPERLINK("http://www.ncbi.nlm.nih.gov/Taxonomy/Browser/wwwtax.cgi?mode=Info&amp;id=9696&amp;lvl=3&amp;lin=f&amp;keep=1&amp;srchmode=1&amp;unlock","9696")</f>
        <v>9696</v>
      </c>
      <c r="E15" t="s">
        <v>66</v>
      </c>
      <c r="F15" t="str">
        <f>HYPERLINK("http://www.ncbi.nlm.nih.gov/Taxonomy/Browser/wwwtax.cgi?mode=Info&amp;id=9696&amp;lvl=3&amp;lin=f&amp;keep=1&amp;srchmode=1&amp;unlock","Puma concolor")</f>
        <v>Puma concolor</v>
      </c>
      <c r="G15" t="s">
        <v>91</v>
      </c>
      <c r="H15" t="str">
        <f>HYPERLINK("http://www.ncbi.nlm.nih.gov/protein/XP_025769782.1","mitochondrial import receptor subunit TOM70")</f>
        <v>mitochondrial import receptor subunit TOM70</v>
      </c>
      <c r="I15" t="s">
        <v>270</v>
      </c>
      <c r="J15" t="s">
        <v>69</v>
      </c>
      <c r="K15">
        <v>220</v>
      </c>
      <c r="L15" t="s">
        <v>151</v>
      </c>
      <c r="M15" t="s">
        <v>69</v>
      </c>
      <c r="N15" t="s">
        <v>152</v>
      </c>
      <c r="O15" t="s">
        <v>69</v>
      </c>
      <c r="P15">
        <v>165.19200000000001</v>
      </c>
      <c r="Q15" t="s">
        <v>69</v>
      </c>
      <c r="R15" t="s">
        <v>69</v>
      </c>
      <c r="S15">
        <v>226</v>
      </c>
      <c r="T15" t="s">
        <v>116</v>
      </c>
      <c r="U15" t="s">
        <v>69</v>
      </c>
      <c r="V15" t="s">
        <v>117</v>
      </c>
      <c r="W15" t="s">
        <v>69</v>
      </c>
      <c r="X15">
        <v>149.208</v>
      </c>
      <c r="Y15" t="s">
        <v>69</v>
      </c>
      <c r="Z15" t="s">
        <v>69</v>
      </c>
      <c r="AA15">
        <v>380</v>
      </c>
      <c r="AB15" t="s">
        <v>147</v>
      </c>
      <c r="AC15" t="s">
        <v>69</v>
      </c>
      <c r="AD15" t="s">
        <v>148</v>
      </c>
      <c r="AE15" t="s">
        <v>69</v>
      </c>
      <c r="AF15">
        <v>146.14599999999999</v>
      </c>
      <c r="AG15" t="s">
        <v>69</v>
      </c>
      <c r="AH15" t="s">
        <v>69</v>
      </c>
      <c r="AI15">
        <v>382</v>
      </c>
      <c r="AJ15" t="s">
        <v>147</v>
      </c>
      <c r="AK15" t="s">
        <v>69</v>
      </c>
      <c r="AL15" t="s">
        <v>148</v>
      </c>
      <c r="AM15" t="s">
        <v>69</v>
      </c>
      <c r="AN15">
        <v>146.14599999999999</v>
      </c>
      <c r="AO15" t="s">
        <v>69</v>
      </c>
      <c r="AP15" t="s">
        <v>69</v>
      </c>
      <c r="AQ15">
        <v>414</v>
      </c>
      <c r="AR15" t="s">
        <v>72</v>
      </c>
      <c r="AS15" t="s">
        <v>69</v>
      </c>
      <c r="AT15" t="s">
        <v>71</v>
      </c>
      <c r="AU15" t="s">
        <v>69</v>
      </c>
      <c r="AV15">
        <v>131.17500000000001</v>
      </c>
      <c r="AW15" t="s">
        <v>69</v>
      </c>
      <c r="AX15" t="s">
        <v>69</v>
      </c>
      <c r="AY15">
        <v>448</v>
      </c>
      <c r="AZ15" t="s">
        <v>74</v>
      </c>
      <c r="BA15" t="s">
        <v>69</v>
      </c>
      <c r="BB15" t="s">
        <v>75</v>
      </c>
      <c r="BC15" t="s">
        <v>69</v>
      </c>
      <c r="BD15">
        <v>174.203</v>
      </c>
      <c r="BE15" t="s">
        <v>69</v>
      </c>
      <c r="BF15" t="s">
        <v>69</v>
      </c>
      <c r="BG15">
        <v>478</v>
      </c>
      <c r="BH15" t="s">
        <v>119</v>
      </c>
      <c r="BI15" t="s">
        <v>69</v>
      </c>
      <c r="BJ15" t="s">
        <v>120</v>
      </c>
      <c r="BK15" t="s">
        <v>69</v>
      </c>
      <c r="BL15">
        <v>147.131</v>
      </c>
      <c r="BM15" t="s">
        <v>69</v>
      </c>
      <c r="BN15" t="s">
        <v>69</v>
      </c>
      <c r="BO15">
        <v>485</v>
      </c>
      <c r="BP15" t="s">
        <v>147</v>
      </c>
      <c r="BQ15" t="s">
        <v>69</v>
      </c>
      <c r="BR15" t="s">
        <v>148</v>
      </c>
      <c r="BS15" t="s">
        <v>69</v>
      </c>
      <c r="BT15">
        <v>146.14599999999999</v>
      </c>
      <c r="BU15" t="s">
        <v>69</v>
      </c>
      <c r="BV15" t="s">
        <v>69</v>
      </c>
      <c r="BW15">
        <v>545</v>
      </c>
      <c r="BX15" t="s">
        <v>249</v>
      </c>
      <c r="BY15" t="s">
        <v>69</v>
      </c>
      <c r="BZ15" t="s">
        <v>117</v>
      </c>
      <c r="CA15" t="s">
        <v>69</v>
      </c>
      <c r="CB15">
        <v>121.154</v>
      </c>
      <c r="CC15" t="s">
        <v>69</v>
      </c>
      <c r="CD15" t="s">
        <v>69</v>
      </c>
      <c r="CE15">
        <v>546</v>
      </c>
      <c r="CF15" t="s">
        <v>156</v>
      </c>
      <c r="CG15" t="s">
        <v>69</v>
      </c>
      <c r="CH15" t="s">
        <v>120</v>
      </c>
      <c r="CI15" t="s">
        <v>69</v>
      </c>
      <c r="CJ15">
        <v>133.10400000000001</v>
      </c>
      <c r="CK15" t="s">
        <v>69</v>
      </c>
      <c r="CL15" t="s">
        <v>69</v>
      </c>
      <c r="CM15">
        <v>557</v>
      </c>
      <c r="CN15" t="s">
        <v>115</v>
      </c>
      <c r="CO15" t="s">
        <v>69</v>
      </c>
      <c r="CP15" t="s">
        <v>71</v>
      </c>
      <c r="CQ15" t="s">
        <v>69</v>
      </c>
      <c r="CR15">
        <v>117.148</v>
      </c>
      <c r="CS15" t="s">
        <v>69</v>
      </c>
      <c r="CT15" t="s">
        <v>69</v>
      </c>
      <c r="CU15">
        <v>581</v>
      </c>
      <c r="CV15" t="s">
        <v>119</v>
      </c>
      <c r="CW15" t="s">
        <v>69</v>
      </c>
      <c r="CX15" t="s">
        <v>120</v>
      </c>
      <c r="CY15" t="s">
        <v>69</v>
      </c>
      <c r="CZ15">
        <v>147.131</v>
      </c>
      <c r="DA15" t="s">
        <v>69</v>
      </c>
      <c r="DB15" t="s">
        <v>69</v>
      </c>
      <c r="DC15">
        <v>595</v>
      </c>
      <c r="DD15" t="s">
        <v>147</v>
      </c>
      <c r="DE15" t="s">
        <v>69</v>
      </c>
      <c r="DF15" t="s">
        <v>148</v>
      </c>
      <c r="DG15" t="s">
        <v>69</v>
      </c>
      <c r="DH15">
        <v>146.14599999999999</v>
      </c>
      <c r="DI15" t="s">
        <v>69</v>
      </c>
      <c r="DJ15" t="s">
        <v>69</v>
      </c>
    </row>
    <row r="16" spans="1:114" x14ac:dyDescent="0.25">
      <c r="A16">
        <v>7</v>
      </c>
      <c r="B16" t="str">
        <f>HYPERLINK("http://www.ncbi.nlm.nih.gov/protein/XP_030184785.1","XP_030184785.1")</f>
        <v>XP_030184785.1</v>
      </c>
      <c r="C16">
        <v>42175</v>
      </c>
      <c r="D16" t="str">
        <f>HYPERLINK("http://www.ncbi.nlm.nih.gov/Taxonomy/Browser/wwwtax.cgi?mode=Info&amp;id=61383&amp;lvl=3&amp;lin=f&amp;keep=1&amp;srchmode=1&amp;unlock","61383")</f>
        <v>61383</v>
      </c>
      <c r="E16" t="s">
        <v>66</v>
      </c>
      <c r="F16" t="str">
        <f>HYPERLINK("http://www.ncbi.nlm.nih.gov/Taxonomy/Browser/wwwtax.cgi?mode=Info&amp;id=61383&amp;lvl=3&amp;lin=f&amp;keep=1&amp;srchmode=1&amp;unlock","Lynx canadensis")</f>
        <v>Lynx canadensis</v>
      </c>
      <c r="G16" t="s">
        <v>105</v>
      </c>
      <c r="H16" t="str">
        <f>HYPERLINK("http://www.ncbi.nlm.nih.gov/protein/XP_030184785.1","mitochondrial import receptor subunit TOM70")</f>
        <v>mitochondrial import receptor subunit TOM70</v>
      </c>
      <c r="I16" t="s">
        <v>270</v>
      </c>
      <c r="J16" t="s">
        <v>69</v>
      </c>
      <c r="K16">
        <v>220</v>
      </c>
      <c r="L16" t="s">
        <v>151</v>
      </c>
      <c r="M16" t="s">
        <v>69</v>
      </c>
      <c r="N16" t="s">
        <v>152</v>
      </c>
      <c r="O16" t="s">
        <v>69</v>
      </c>
      <c r="P16">
        <v>165.19200000000001</v>
      </c>
      <c r="Q16" t="s">
        <v>69</v>
      </c>
      <c r="R16" t="s">
        <v>69</v>
      </c>
      <c r="S16">
        <v>226</v>
      </c>
      <c r="T16" t="s">
        <v>116</v>
      </c>
      <c r="U16" t="s">
        <v>69</v>
      </c>
      <c r="V16" t="s">
        <v>117</v>
      </c>
      <c r="W16" t="s">
        <v>69</v>
      </c>
      <c r="X16">
        <v>149.208</v>
      </c>
      <c r="Y16" t="s">
        <v>69</v>
      </c>
      <c r="Z16" t="s">
        <v>69</v>
      </c>
      <c r="AA16">
        <v>380</v>
      </c>
      <c r="AB16" t="s">
        <v>147</v>
      </c>
      <c r="AC16" t="s">
        <v>69</v>
      </c>
      <c r="AD16" t="s">
        <v>148</v>
      </c>
      <c r="AE16" t="s">
        <v>69</v>
      </c>
      <c r="AF16">
        <v>146.14599999999999</v>
      </c>
      <c r="AG16" t="s">
        <v>69</v>
      </c>
      <c r="AH16" t="s">
        <v>69</v>
      </c>
      <c r="AI16">
        <v>382</v>
      </c>
      <c r="AJ16" t="s">
        <v>147</v>
      </c>
      <c r="AK16" t="s">
        <v>69</v>
      </c>
      <c r="AL16" t="s">
        <v>148</v>
      </c>
      <c r="AM16" t="s">
        <v>69</v>
      </c>
      <c r="AN16">
        <v>146.14599999999999</v>
      </c>
      <c r="AO16" t="s">
        <v>69</v>
      </c>
      <c r="AP16" t="s">
        <v>69</v>
      </c>
      <c r="AQ16">
        <v>414</v>
      </c>
      <c r="AR16" t="s">
        <v>72</v>
      </c>
      <c r="AS16" t="s">
        <v>69</v>
      </c>
      <c r="AT16" t="s">
        <v>71</v>
      </c>
      <c r="AU16" t="s">
        <v>69</v>
      </c>
      <c r="AV16">
        <v>131.17500000000001</v>
      </c>
      <c r="AW16" t="s">
        <v>69</v>
      </c>
      <c r="AX16" t="s">
        <v>69</v>
      </c>
      <c r="AY16">
        <v>448</v>
      </c>
      <c r="AZ16" t="s">
        <v>74</v>
      </c>
      <c r="BA16" t="s">
        <v>69</v>
      </c>
      <c r="BB16" t="s">
        <v>75</v>
      </c>
      <c r="BC16" t="s">
        <v>69</v>
      </c>
      <c r="BD16">
        <v>174.203</v>
      </c>
      <c r="BE16" t="s">
        <v>69</v>
      </c>
      <c r="BF16" t="s">
        <v>69</v>
      </c>
      <c r="BG16">
        <v>478</v>
      </c>
      <c r="BH16" t="s">
        <v>119</v>
      </c>
      <c r="BI16" t="s">
        <v>69</v>
      </c>
      <c r="BJ16" t="s">
        <v>120</v>
      </c>
      <c r="BK16" t="s">
        <v>69</v>
      </c>
      <c r="BL16">
        <v>147.131</v>
      </c>
      <c r="BM16" t="s">
        <v>69</v>
      </c>
      <c r="BN16" t="s">
        <v>69</v>
      </c>
      <c r="BO16">
        <v>485</v>
      </c>
      <c r="BP16" t="s">
        <v>147</v>
      </c>
      <c r="BQ16" t="s">
        <v>69</v>
      </c>
      <c r="BR16" t="s">
        <v>148</v>
      </c>
      <c r="BS16" t="s">
        <v>69</v>
      </c>
      <c r="BT16">
        <v>146.14599999999999</v>
      </c>
      <c r="BU16" t="s">
        <v>69</v>
      </c>
      <c r="BV16" t="s">
        <v>69</v>
      </c>
      <c r="BW16">
        <v>545</v>
      </c>
      <c r="BX16" t="s">
        <v>249</v>
      </c>
      <c r="BY16" t="s">
        <v>69</v>
      </c>
      <c r="BZ16" t="s">
        <v>117</v>
      </c>
      <c r="CA16" t="s">
        <v>69</v>
      </c>
      <c r="CB16">
        <v>121.154</v>
      </c>
      <c r="CC16" t="s">
        <v>69</v>
      </c>
      <c r="CD16" t="s">
        <v>69</v>
      </c>
      <c r="CE16">
        <v>546</v>
      </c>
      <c r="CF16" t="s">
        <v>156</v>
      </c>
      <c r="CG16" t="s">
        <v>69</v>
      </c>
      <c r="CH16" t="s">
        <v>120</v>
      </c>
      <c r="CI16" t="s">
        <v>69</v>
      </c>
      <c r="CJ16">
        <v>133.10400000000001</v>
      </c>
      <c r="CK16" t="s">
        <v>69</v>
      </c>
      <c r="CL16" t="s">
        <v>69</v>
      </c>
      <c r="CM16">
        <v>557</v>
      </c>
      <c r="CN16" t="s">
        <v>115</v>
      </c>
      <c r="CO16" t="s">
        <v>69</v>
      </c>
      <c r="CP16" t="s">
        <v>71</v>
      </c>
      <c r="CQ16" t="s">
        <v>69</v>
      </c>
      <c r="CR16">
        <v>117.148</v>
      </c>
      <c r="CS16" t="s">
        <v>69</v>
      </c>
      <c r="CT16" t="s">
        <v>69</v>
      </c>
      <c r="CU16">
        <v>581</v>
      </c>
      <c r="CV16" t="s">
        <v>119</v>
      </c>
      <c r="CW16" t="s">
        <v>69</v>
      </c>
      <c r="CX16" t="s">
        <v>120</v>
      </c>
      <c r="CY16" t="s">
        <v>69</v>
      </c>
      <c r="CZ16">
        <v>147.131</v>
      </c>
      <c r="DA16" t="s">
        <v>69</v>
      </c>
      <c r="DB16" t="s">
        <v>69</v>
      </c>
      <c r="DC16">
        <v>595</v>
      </c>
      <c r="DD16" t="s">
        <v>147</v>
      </c>
      <c r="DE16" t="s">
        <v>69</v>
      </c>
      <c r="DF16" t="s">
        <v>148</v>
      </c>
      <c r="DG16" t="s">
        <v>69</v>
      </c>
      <c r="DH16">
        <v>146.14599999999999</v>
      </c>
      <c r="DI16" t="s">
        <v>69</v>
      </c>
      <c r="DJ16" t="s">
        <v>69</v>
      </c>
    </row>
    <row r="17" spans="1:114" x14ac:dyDescent="0.25">
      <c r="A17">
        <v>7</v>
      </c>
      <c r="B17" t="str">
        <f>HYPERLINK("http://www.ncbi.nlm.nih.gov/protein/XP_046955414.1","XP_046955414.1")</f>
        <v>XP_046955414.1</v>
      </c>
      <c r="C17">
        <v>38764</v>
      </c>
      <c r="D17" t="str">
        <f>HYPERLINK("http://www.ncbi.nlm.nih.gov/Taxonomy/Browser/wwwtax.cgi?mode=Info&amp;id=61384&amp;lvl=3&amp;lin=f&amp;keep=1&amp;srchmode=1&amp;unlock","61384")</f>
        <v>61384</v>
      </c>
      <c r="E17" t="s">
        <v>66</v>
      </c>
      <c r="F17" t="str">
        <f>HYPERLINK("http://www.ncbi.nlm.nih.gov/Taxonomy/Browser/wwwtax.cgi?mode=Info&amp;id=61384&amp;lvl=3&amp;lin=f&amp;keep=1&amp;srchmode=1&amp;unlock","Lynx rufus")</f>
        <v>Lynx rufus</v>
      </c>
      <c r="G17" t="s">
        <v>93</v>
      </c>
      <c r="H17" t="str">
        <f>HYPERLINK("http://www.ncbi.nlm.nih.gov/protein/XP_046955414.1","mitochondrial import receptor subunit TOM70")</f>
        <v>mitochondrial import receptor subunit TOM70</v>
      </c>
      <c r="I17" t="s">
        <v>270</v>
      </c>
      <c r="J17" t="s">
        <v>69</v>
      </c>
      <c r="K17">
        <v>220</v>
      </c>
      <c r="L17" t="s">
        <v>151</v>
      </c>
      <c r="M17" t="s">
        <v>69</v>
      </c>
      <c r="N17" t="s">
        <v>152</v>
      </c>
      <c r="O17" t="s">
        <v>69</v>
      </c>
      <c r="P17">
        <v>165.19200000000001</v>
      </c>
      <c r="Q17" t="s">
        <v>69</v>
      </c>
      <c r="R17" t="s">
        <v>69</v>
      </c>
      <c r="S17">
        <v>226</v>
      </c>
      <c r="T17" t="s">
        <v>116</v>
      </c>
      <c r="U17" t="s">
        <v>69</v>
      </c>
      <c r="V17" t="s">
        <v>117</v>
      </c>
      <c r="W17" t="s">
        <v>69</v>
      </c>
      <c r="X17">
        <v>149.208</v>
      </c>
      <c r="Y17" t="s">
        <v>69</v>
      </c>
      <c r="Z17" t="s">
        <v>69</v>
      </c>
      <c r="AA17">
        <v>380</v>
      </c>
      <c r="AB17" t="s">
        <v>147</v>
      </c>
      <c r="AC17" t="s">
        <v>69</v>
      </c>
      <c r="AD17" t="s">
        <v>148</v>
      </c>
      <c r="AE17" t="s">
        <v>69</v>
      </c>
      <c r="AF17">
        <v>146.14599999999999</v>
      </c>
      <c r="AG17" t="s">
        <v>69</v>
      </c>
      <c r="AH17" t="s">
        <v>69</v>
      </c>
      <c r="AI17">
        <v>382</v>
      </c>
      <c r="AJ17" t="s">
        <v>147</v>
      </c>
      <c r="AK17" t="s">
        <v>69</v>
      </c>
      <c r="AL17" t="s">
        <v>148</v>
      </c>
      <c r="AM17" t="s">
        <v>69</v>
      </c>
      <c r="AN17">
        <v>146.14599999999999</v>
      </c>
      <c r="AO17" t="s">
        <v>69</v>
      </c>
      <c r="AP17" t="s">
        <v>69</v>
      </c>
      <c r="AQ17">
        <v>414</v>
      </c>
      <c r="AR17" t="s">
        <v>72</v>
      </c>
      <c r="AS17" t="s">
        <v>69</v>
      </c>
      <c r="AT17" t="s">
        <v>71</v>
      </c>
      <c r="AU17" t="s">
        <v>69</v>
      </c>
      <c r="AV17">
        <v>131.17500000000001</v>
      </c>
      <c r="AW17" t="s">
        <v>69</v>
      </c>
      <c r="AX17" t="s">
        <v>69</v>
      </c>
      <c r="AY17">
        <v>448</v>
      </c>
      <c r="AZ17" t="s">
        <v>74</v>
      </c>
      <c r="BA17" t="s">
        <v>69</v>
      </c>
      <c r="BB17" t="s">
        <v>75</v>
      </c>
      <c r="BC17" t="s">
        <v>69</v>
      </c>
      <c r="BD17">
        <v>174.203</v>
      </c>
      <c r="BE17" t="s">
        <v>69</v>
      </c>
      <c r="BF17" t="s">
        <v>69</v>
      </c>
      <c r="BG17">
        <v>478</v>
      </c>
      <c r="BH17" t="s">
        <v>119</v>
      </c>
      <c r="BI17" t="s">
        <v>69</v>
      </c>
      <c r="BJ17" t="s">
        <v>120</v>
      </c>
      <c r="BK17" t="s">
        <v>69</v>
      </c>
      <c r="BL17">
        <v>147.131</v>
      </c>
      <c r="BM17" t="s">
        <v>69</v>
      </c>
      <c r="BN17" t="s">
        <v>69</v>
      </c>
      <c r="BO17">
        <v>485</v>
      </c>
      <c r="BP17" t="s">
        <v>147</v>
      </c>
      <c r="BQ17" t="s">
        <v>69</v>
      </c>
      <c r="BR17" t="s">
        <v>148</v>
      </c>
      <c r="BS17" t="s">
        <v>69</v>
      </c>
      <c r="BT17">
        <v>146.14599999999999</v>
      </c>
      <c r="BU17" t="s">
        <v>69</v>
      </c>
      <c r="BV17" t="s">
        <v>69</v>
      </c>
      <c r="BW17">
        <v>545</v>
      </c>
      <c r="BX17" t="s">
        <v>249</v>
      </c>
      <c r="BY17" t="s">
        <v>69</v>
      </c>
      <c r="BZ17" t="s">
        <v>117</v>
      </c>
      <c r="CA17" t="s">
        <v>69</v>
      </c>
      <c r="CB17">
        <v>121.154</v>
      </c>
      <c r="CC17" t="s">
        <v>69</v>
      </c>
      <c r="CD17" t="s">
        <v>69</v>
      </c>
      <c r="CE17">
        <v>546</v>
      </c>
      <c r="CF17" t="s">
        <v>156</v>
      </c>
      <c r="CG17" t="s">
        <v>69</v>
      </c>
      <c r="CH17" t="s">
        <v>120</v>
      </c>
      <c r="CI17" t="s">
        <v>69</v>
      </c>
      <c r="CJ17">
        <v>133.10400000000001</v>
      </c>
      <c r="CK17" t="s">
        <v>69</v>
      </c>
      <c r="CL17" t="s">
        <v>69</v>
      </c>
      <c r="CM17">
        <v>557</v>
      </c>
      <c r="CN17" t="s">
        <v>115</v>
      </c>
      <c r="CO17" t="s">
        <v>69</v>
      </c>
      <c r="CP17" t="s">
        <v>71</v>
      </c>
      <c r="CQ17" t="s">
        <v>69</v>
      </c>
      <c r="CR17">
        <v>117.148</v>
      </c>
      <c r="CS17" t="s">
        <v>69</v>
      </c>
      <c r="CT17" t="s">
        <v>69</v>
      </c>
      <c r="CU17">
        <v>581</v>
      </c>
      <c r="CV17" t="s">
        <v>119</v>
      </c>
      <c r="CW17" t="s">
        <v>69</v>
      </c>
      <c r="CX17" t="s">
        <v>120</v>
      </c>
      <c r="CY17" t="s">
        <v>69</v>
      </c>
      <c r="CZ17">
        <v>147.131</v>
      </c>
      <c r="DA17" t="s">
        <v>69</v>
      </c>
      <c r="DB17" t="s">
        <v>69</v>
      </c>
      <c r="DC17">
        <v>595</v>
      </c>
      <c r="DD17" t="s">
        <v>147</v>
      </c>
      <c r="DE17" t="s">
        <v>69</v>
      </c>
      <c r="DF17" t="s">
        <v>148</v>
      </c>
      <c r="DG17" t="s">
        <v>69</v>
      </c>
      <c r="DH17">
        <v>146.14599999999999</v>
      </c>
      <c r="DI17" t="s">
        <v>69</v>
      </c>
      <c r="DJ17" t="s">
        <v>69</v>
      </c>
    </row>
    <row r="18" spans="1:114" x14ac:dyDescent="0.25">
      <c r="A18">
        <v>7</v>
      </c>
      <c r="B18" t="str">
        <f>HYPERLINK("http://www.ncbi.nlm.nih.gov/protein/XP_047731262.1","XP_047731262.1")</f>
        <v>XP_047731262.1</v>
      </c>
      <c r="C18">
        <v>56399</v>
      </c>
      <c r="D18" t="str">
        <f>HYPERLINK("http://www.ncbi.nlm.nih.gov/Taxonomy/Browser/wwwtax.cgi?mode=Info&amp;id=61388&amp;lvl=3&amp;lin=f&amp;keep=1&amp;srchmode=1&amp;unlock","61388")</f>
        <v>61388</v>
      </c>
      <c r="E18" t="s">
        <v>66</v>
      </c>
      <c r="F18" t="str">
        <f>HYPERLINK("http://www.ncbi.nlm.nih.gov/Taxonomy/Browser/wwwtax.cgi?mode=Info&amp;id=61388&amp;lvl=3&amp;lin=f&amp;keep=1&amp;srchmode=1&amp;unlock","Prionailurus viverrinus")</f>
        <v>Prionailurus viverrinus</v>
      </c>
      <c r="G18" t="s">
        <v>94</v>
      </c>
      <c r="H18" t="str">
        <f>HYPERLINK("http://www.ncbi.nlm.nih.gov/protein/XP_047731262.1","mitochondrial import receptor subunit TOM70")</f>
        <v>mitochondrial import receptor subunit TOM70</v>
      </c>
      <c r="I18" t="s">
        <v>270</v>
      </c>
      <c r="J18" t="s">
        <v>69</v>
      </c>
      <c r="K18">
        <v>220</v>
      </c>
      <c r="L18" t="s">
        <v>151</v>
      </c>
      <c r="M18" t="s">
        <v>69</v>
      </c>
      <c r="N18" t="s">
        <v>152</v>
      </c>
      <c r="O18" t="s">
        <v>69</v>
      </c>
      <c r="P18">
        <v>165.19200000000001</v>
      </c>
      <c r="Q18" t="s">
        <v>69</v>
      </c>
      <c r="R18" t="s">
        <v>69</v>
      </c>
      <c r="S18">
        <v>226</v>
      </c>
      <c r="T18" t="s">
        <v>116</v>
      </c>
      <c r="U18" t="s">
        <v>69</v>
      </c>
      <c r="V18" t="s">
        <v>117</v>
      </c>
      <c r="W18" t="s">
        <v>69</v>
      </c>
      <c r="X18">
        <v>149.208</v>
      </c>
      <c r="Y18" t="s">
        <v>69</v>
      </c>
      <c r="Z18" t="s">
        <v>69</v>
      </c>
      <c r="AA18">
        <v>380</v>
      </c>
      <c r="AB18" t="s">
        <v>147</v>
      </c>
      <c r="AC18" t="s">
        <v>69</v>
      </c>
      <c r="AD18" t="s">
        <v>148</v>
      </c>
      <c r="AE18" t="s">
        <v>69</v>
      </c>
      <c r="AF18">
        <v>146.14599999999999</v>
      </c>
      <c r="AG18" t="s">
        <v>69</v>
      </c>
      <c r="AH18" t="s">
        <v>69</v>
      </c>
      <c r="AI18">
        <v>382</v>
      </c>
      <c r="AJ18" t="s">
        <v>147</v>
      </c>
      <c r="AK18" t="s">
        <v>69</v>
      </c>
      <c r="AL18" t="s">
        <v>148</v>
      </c>
      <c r="AM18" t="s">
        <v>69</v>
      </c>
      <c r="AN18">
        <v>146.14599999999999</v>
      </c>
      <c r="AO18" t="s">
        <v>69</v>
      </c>
      <c r="AP18" t="s">
        <v>69</v>
      </c>
      <c r="AQ18">
        <v>414</v>
      </c>
      <c r="AR18" t="s">
        <v>72</v>
      </c>
      <c r="AS18" t="s">
        <v>69</v>
      </c>
      <c r="AT18" t="s">
        <v>71</v>
      </c>
      <c r="AU18" t="s">
        <v>69</v>
      </c>
      <c r="AV18">
        <v>131.17500000000001</v>
      </c>
      <c r="AW18" t="s">
        <v>69</v>
      </c>
      <c r="AX18" t="s">
        <v>69</v>
      </c>
      <c r="AY18">
        <v>448</v>
      </c>
      <c r="AZ18" t="s">
        <v>74</v>
      </c>
      <c r="BA18" t="s">
        <v>69</v>
      </c>
      <c r="BB18" t="s">
        <v>75</v>
      </c>
      <c r="BC18" t="s">
        <v>69</v>
      </c>
      <c r="BD18">
        <v>174.203</v>
      </c>
      <c r="BE18" t="s">
        <v>69</v>
      </c>
      <c r="BF18" t="s">
        <v>69</v>
      </c>
      <c r="BG18">
        <v>478</v>
      </c>
      <c r="BH18" t="s">
        <v>119</v>
      </c>
      <c r="BI18" t="s">
        <v>69</v>
      </c>
      <c r="BJ18" t="s">
        <v>120</v>
      </c>
      <c r="BK18" t="s">
        <v>69</v>
      </c>
      <c r="BL18">
        <v>147.131</v>
      </c>
      <c r="BM18" t="s">
        <v>69</v>
      </c>
      <c r="BN18" t="s">
        <v>69</v>
      </c>
      <c r="BO18">
        <v>485</v>
      </c>
      <c r="BP18" t="s">
        <v>147</v>
      </c>
      <c r="BQ18" t="s">
        <v>69</v>
      </c>
      <c r="BR18" t="s">
        <v>148</v>
      </c>
      <c r="BS18" t="s">
        <v>69</v>
      </c>
      <c r="BT18">
        <v>146.14599999999999</v>
      </c>
      <c r="BU18" t="s">
        <v>69</v>
      </c>
      <c r="BV18" t="s">
        <v>69</v>
      </c>
      <c r="BW18">
        <v>545</v>
      </c>
      <c r="BX18" t="s">
        <v>249</v>
      </c>
      <c r="BY18" t="s">
        <v>69</v>
      </c>
      <c r="BZ18" t="s">
        <v>117</v>
      </c>
      <c r="CA18" t="s">
        <v>69</v>
      </c>
      <c r="CB18">
        <v>121.154</v>
      </c>
      <c r="CC18" t="s">
        <v>69</v>
      </c>
      <c r="CD18" t="s">
        <v>69</v>
      </c>
      <c r="CE18">
        <v>546</v>
      </c>
      <c r="CF18" t="s">
        <v>156</v>
      </c>
      <c r="CG18" t="s">
        <v>69</v>
      </c>
      <c r="CH18" t="s">
        <v>120</v>
      </c>
      <c r="CI18" t="s">
        <v>69</v>
      </c>
      <c r="CJ18">
        <v>133.10400000000001</v>
      </c>
      <c r="CK18" t="s">
        <v>69</v>
      </c>
      <c r="CL18" t="s">
        <v>69</v>
      </c>
      <c r="CM18">
        <v>557</v>
      </c>
      <c r="CN18" t="s">
        <v>115</v>
      </c>
      <c r="CO18" t="s">
        <v>69</v>
      </c>
      <c r="CP18" t="s">
        <v>71</v>
      </c>
      <c r="CQ18" t="s">
        <v>69</v>
      </c>
      <c r="CR18">
        <v>117.148</v>
      </c>
      <c r="CS18" t="s">
        <v>69</v>
      </c>
      <c r="CT18" t="s">
        <v>69</v>
      </c>
      <c r="CU18">
        <v>581</v>
      </c>
      <c r="CV18" t="s">
        <v>119</v>
      </c>
      <c r="CW18" t="s">
        <v>69</v>
      </c>
      <c r="CX18" t="s">
        <v>120</v>
      </c>
      <c r="CY18" t="s">
        <v>69</v>
      </c>
      <c r="CZ18">
        <v>147.131</v>
      </c>
      <c r="DA18" t="s">
        <v>69</v>
      </c>
      <c r="DB18" t="s">
        <v>69</v>
      </c>
      <c r="DC18">
        <v>595</v>
      </c>
      <c r="DD18" t="s">
        <v>147</v>
      </c>
      <c r="DE18" t="s">
        <v>69</v>
      </c>
      <c r="DF18" t="s">
        <v>148</v>
      </c>
      <c r="DG18" t="s">
        <v>69</v>
      </c>
      <c r="DH18">
        <v>146.14599999999999</v>
      </c>
      <c r="DI18" t="s">
        <v>69</v>
      </c>
      <c r="DJ18" t="s">
        <v>69</v>
      </c>
    </row>
    <row r="19" spans="1:114" x14ac:dyDescent="0.25">
      <c r="A19">
        <v>7</v>
      </c>
      <c r="B19" t="str">
        <f>HYPERLINK("http://www.ncbi.nlm.nih.gov/protein/XP_004771991.1","XP_004771991.1")</f>
        <v>XP_004771991.1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HYPERLINK("http://www.ncbi.nlm.nih.gov/protein/XP_004771991.1","mitochondrial import receptor subunit TOM70")</f>
        <v>mitochondrial import receptor subunit TOM70</v>
      </c>
      <c r="I19" t="s">
        <v>270</v>
      </c>
      <c r="J19" t="s">
        <v>69</v>
      </c>
      <c r="K19">
        <v>220</v>
      </c>
      <c r="L19" t="s">
        <v>151</v>
      </c>
      <c r="M19" t="s">
        <v>69</v>
      </c>
      <c r="N19" t="s">
        <v>152</v>
      </c>
      <c r="O19" t="s">
        <v>69</v>
      </c>
      <c r="P19">
        <v>165.19200000000001</v>
      </c>
      <c r="Q19" t="s">
        <v>69</v>
      </c>
      <c r="R19" t="s">
        <v>69</v>
      </c>
      <c r="S19">
        <v>226</v>
      </c>
      <c r="T19" t="s">
        <v>116</v>
      </c>
      <c r="U19" t="s">
        <v>69</v>
      </c>
      <c r="V19" t="s">
        <v>117</v>
      </c>
      <c r="W19" t="s">
        <v>69</v>
      </c>
      <c r="X19">
        <v>149.208</v>
      </c>
      <c r="Y19" t="s">
        <v>69</v>
      </c>
      <c r="Z19" t="s">
        <v>69</v>
      </c>
      <c r="AA19">
        <v>380</v>
      </c>
      <c r="AB19" t="s">
        <v>147</v>
      </c>
      <c r="AC19" t="s">
        <v>69</v>
      </c>
      <c r="AD19" t="s">
        <v>148</v>
      </c>
      <c r="AE19" t="s">
        <v>69</v>
      </c>
      <c r="AF19">
        <v>146.14599999999999</v>
      </c>
      <c r="AG19" t="s">
        <v>69</v>
      </c>
      <c r="AH19" t="s">
        <v>69</v>
      </c>
      <c r="AI19">
        <v>382</v>
      </c>
      <c r="AJ19" t="s">
        <v>147</v>
      </c>
      <c r="AK19" t="s">
        <v>69</v>
      </c>
      <c r="AL19" t="s">
        <v>148</v>
      </c>
      <c r="AM19" t="s">
        <v>69</v>
      </c>
      <c r="AN19">
        <v>146.14599999999999</v>
      </c>
      <c r="AO19" t="s">
        <v>69</v>
      </c>
      <c r="AP19" t="s">
        <v>69</v>
      </c>
      <c r="AQ19">
        <v>414</v>
      </c>
      <c r="AR19" t="s">
        <v>72</v>
      </c>
      <c r="AS19" t="s">
        <v>69</v>
      </c>
      <c r="AT19" t="s">
        <v>71</v>
      </c>
      <c r="AU19" t="s">
        <v>69</v>
      </c>
      <c r="AV19">
        <v>131.17500000000001</v>
      </c>
      <c r="AW19" t="s">
        <v>69</v>
      </c>
      <c r="AX19" t="s">
        <v>69</v>
      </c>
      <c r="AY19">
        <v>448</v>
      </c>
      <c r="AZ19" t="s">
        <v>74</v>
      </c>
      <c r="BA19" t="s">
        <v>69</v>
      </c>
      <c r="BB19" t="s">
        <v>75</v>
      </c>
      <c r="BC19" t="s">
        <v>69</v>
      </c>
      <c r="BD19">
        <v>174.203</v>
      </c>
      <c r="BE19" t="s">
        <v>69</v>
      </c>
      <c r="BF19" t="s">
        <v>69</v>
      </c>
      <c r="BG19">
        <v>478</v>
      </c>
      <c r="BH19" t="s">
        <v>119</v>
      </c>
      <c r="BI19" t="s">
        <v>69</v>
      </c>
      <c r="BJ19" t="s">
        <v>120</v>
      </c>
      <c r="BK19" t="s">
        <v>69</v>
      </c>
      <c r="BL19">
        <v>147.131</v>
      </c>
      <c r="BM19" t="s">
        <v>69</v>
      </c>
      <c r="BN19" t="s">
        <v>69</v>
      </c>
      <c r="BO19">
        <v>485</v>
      </c>
      <c r="BP19" t="s">
        <v>147</v>
      </c>
      <c r="BQ19" t="s">
        <v>69</v>
      </c>
      <c r="BR19" t="s">
        <v>148</v>
      </c>
      <c r="BS19" t="s">
        <v>69</v>
      </c>
      <c r="BT19">
        <v>146.14599999999999</v>
      </c>
      <c r="BU19" t="s">
        <v>69</v>
      </c>
      <c r="BV19" t="s">
        <v>69</v>
      </c>
      <c r="BW19">
        <v>545</v>
      </c>
      <c r="BX19" t="s">
        <v>249</v>
      </c>
      <c r="BY19" t="s">
        <v>69</v>
      </c>
      <c r="BZ19" t="s">
        <v>117</v>
      </c>
      <c r="CA19" t="s">
        <v>69</v>
      </c>
      <c r="CB19">
        <v>121.154</v>
      </c>
      <c r="CC19" t="s">
        <v>69</v>
      </c>
      <c r="CD19" t="s">
        <v>69</v>
      </c>
      <c r="CE19">
        <v>546</v>
      </c>
      <c r="CF19" t="s">
        <v>156</v>
      </c>
      <c r="CG19" t="s">
        <v>69</v>
      </c>
      <c r="CH19" t="s">
        <v>120</v>
      </c>
      <c r="CI19" t="s">
        <v>69</v>
      </c>
      <c r="CJ19">
        <v>133.10400000000001</v>
      </c>
      <c r="CK19" t="s">
        <v>69</v>
      </c>
      <c r="CL19" t="s">
        <v>69</v>
      </c>
      <c r="CM19">
        <v>557</v>
      </c>
      <c r="CN19" t="s">
        <v>115</v>
      </c>
      <c r="CO19" t="s">
        <v>69</v>
      </c>
      <c r="CP19" t="s">
        <v>71</v>
      </c>
      <c r="CQ19" t="s">
        <v>69</v>
      </c>
      <c r="CR19">
        <v>117.148</v>
      </c>
      <c r="CS19" t="s">
        <v>69</v>
      </c>
      <c r="CT19" t="s">
        <v>69</v>
      </c>
      <c r="CU19">
        <v>581</v>
      </c>
      <c r="CV19" t="s">
        <v>119</v>
      </c>
      <c r="CW19" t="s">
        <v>69</v>
      </c>
      <c r="CX19" t="s">
        <v>120</v>
      </c>
      <c r="CY19" t="s">
        <v>69</v>
      </c>
      <c r="CZ19">
        <v>147.131</v>
      </c>
      <c r="DA19" t="s">
        <v>69</v>
      </c>
      <c r="DB19" t="s">
        <v>69</v>
      </c>
      <c r="DC19">
        <v>595</v>
      </c>
      <c r="DD19" t="s">
        <v>147</v>
      </c>
      <c r="DE19" t="s">
        <v>69</v>
      </c>
      <c r="DF19" t="s">
        <v>148</v>
      </c>
      <c r="DG19" t="s">
        <v>69</v>
      </c>
      <c r="DH19">
        <v>146.14599999999999</v>
      </c>
      <c r="DI19" t="s">
        <v>69</v>
      </c>
      <c r="DJ19" t="s">
        <v>69</v>
      </c>
    </row>
    <row r="20" spans="1:114" x14ac:dyDescent="0.25">
      <c r="A20">
        <v>7</v>
      </c>
      <c r="B20" t="str">
        <f>HYPERLINK("http://www.ncbi.nlm.nih.gov/protein/CAD7670891.1","CAD7670891.1")</f>
        <v>CAD7670891.1</v>
      </c>
      <c r="C20">
        <v>27271</v>
      </c>
      <c r="D20" t="str">
        <f>HYPERLINK("http://www.ncbi.nlm.nih.gov/Taxonomy/Browser/wwwtax.cgi?mode=Info&amp;id=34880&amp;lvl=3&amp;lin=f&amp;keep=1&amp;srchmode=1&amp;unlock","34880")</f>
        <v>34880</v>
      </c>
      <c r="E20" t="s">
        <v>66</v>
      </c>
      <c r="F20" t="str">
        <f>HYPERLINK("http://www.ncbi.nlm.nih.gov/Taxonomy/Browser/wwwtax.cgi?mode=Info&amp;id=34880&amp;lvl=3&amp;lin=f&amp;keep=1&amp;srchmode=1&amp;unlock","Nyctereutes procyonoides")</f>
        <v>Nyctereutes procyonoides</v>
      </c>
      <c r="G20" t="s">
        <v>92</v>
      </c>
      <c r="H20" t="str">
        <f>HYPERLINK("http://www.ncbi.nlm.nih.gov/protein/CAD7670891.1","unnamed protein product")</f>
        <v>unnamed protein product</v>
      </c>
      <c r="I20" t="s">
        <v>270</v>
      </c>
      <c r="J20" t="s">
        <v>69</v>
      </c>
      <c r="K20">
        <v>220</v>
      </c>
      <c r="L20" t="s">
        <v>151</v>
      </c>
      <c r="M20" t="s">
        <v>69</v>
      </c>
      <c r="N20" t="s">
        <v>152</v>
      </c>
      <c r="O20" t="s">
        <v>69</v>
      </c>
      <c r="P20">
        <v>165.19200000000001</v>
      </c>
      <c r="Q20" t="s">
        <v>69</v>
      </c>
      <c r="R20" t="s">
        <v>69</v>
      </c>
      <c r="S20">
        <v>226</v>
      </c>
      <c r="T20" t="s">
        <v>116</v>
      </c>
      <c r="U20" t="s">
        <v>69</v>
      </c>
      <c r="V20" t="s">
        <v>117</v>
      </c>
      <c r="W20" t="s">
        <v>69</v>
      </c>
      <c r="X20">
        <v>149.208</v>
      </c>
      <c r="Y20" t="s">
        <v>69</v>
      </c>
      <c r="Z20" t="s">
        <v>69</v>
      </c>
      <c r="AA20">
        <v>380</v>
      </c>
      <c r="AB20" t="s">
        <v>147</v>
      </c>
      <c r="AC20" t="s">
        <v>69</v>
      </c>
      <c r="AD20" t="s">
        <v>148</v>
      </c>
      <c r="AE20" t="s">
        <v>69</v>
      </c>
      <c r="AF20">
        <v>146.14599999999999</v>
      </c>
      <c r="AG20" t="s">
        <v>69</v>
      </c>
      <c r="AH20" t="s">
        <v>69</v>
      </c>
      <c r="AI20">
        <v>382</v>
      </c>
      <c r="AJ20" t="s">
        <v>147</v>
      </c>
      <c r="AK20" t="s">
        <v>69</v>
      </c>
      <c r="AL20" t="s">
        <v>148</v>
      </c>
      <c r="AM20" t="s">
        <v>69</v>
      </c>
      <c r="AN20">
        <v>146.14599999999999</v>
      </c>
      <c r="AO20" t="s">
        <v>69</v>
      </c>
      <c r="AP20" t="s">
        <v>69</v>
      </c>
      <c r="AQ20">
        <v>414</v>
      </c>
      <c r="AR20" t="s">
        <v>72</v>
      </c>
      <c r="AS20" t="s">
        <v>69</v>
      </c>
      <c r="AT20" t="s">
        <v>71</v>
      </c>
      <c r="AU20" t="s">
        <v>69</v>
      </c>
      <c r="AV20">
        <v>131.17500000000001</v>
      </c>
      <c r="AW20" t="s">
        <v>69</v>
      </c>
      <c r="AX20" t="s">
        <v>69</v>
      </c>
      <c r="AY20">
        <v>448</v>
      </c>
      <c r="AZ20" t="s">
        <v>74</v>
      </c>
      <c r="BA20" t="s">
        <v>69</v>
      </c>
      <c r="BB20" t="s">
        <v>75</v>
      </c>
      <c r="BC20" t="s">
        <v>69</v>
      </c>
      <c r="BD20">
        <v>174.203</v>
      </c>
      <c r="BE20" t="s">
        <v>69</v>
      </c>
      <c r="BF20" t="s">
        <v>69</v>
      </c>
      <c r="BG20">
        <v>478</v>
      </c>
      <c r="BH20" t="s">
        <v>119</v>
      </c>
      <c r="BI20" t="s">
        <v>69</v>
      </c>
      <c r="BJ20" t="s">
        <v>120</v>
      </c>
      <c r="BK20" t="s">
        <v>69</v>
      </c>
      <c r="BL20">
        <v>147.131</v>
      </c>
      <c r="BM20" t="s">
        <v>69</v>
      </c>
      <c r="BN20" t="s">
        <v>69</v>
      </c>
      <c r="BO20">
        <v>485</v>
      </c>
      <c r="BP20" t="s">
        <v>147</v>
      </c>
      <c r="BQ20" t="s">
        <v>69</v>
      </c>
      <c r="BR20" t="s">
        <v>148</v>
      </c>
      <c r="BS20" t="s">
        <v>69</v>
      </c>
      <c r="BT20">
        <v>146.14599999999999</v>
      </c>
      <c r="BU20" t="s">
        <v>69</v>
      </c>
      <c r="BV20" t="s">
        <v>69</v>
      </c>
      <c r="BW20">
        <v>545</v>
      </c>
      <c r="BX20" t="s">
        <v>249</v>
      </c>
      <c r="BY20" t="s">
        <v>69</v>
      </c>
      <c r="BZ20" t="s">
        <v>117</v>
      </c>
      <c r="CA20" t="s">
        <v>69</v>
      </c>
      <c r="CB20">
        <v>121.154</v>
      </c>
      <c r="CC20" t="s">
        <v>69</v>
      </c>
      <c r="CD20" t="s">
        <v>69</v>
      </c>
      <c r="CE20">
        <v>546</v>
      </c>
      <c r="CF20" t="s">
        <v>156</v>
      </c>
      <c r="CG20" t="s">
        <v>69</v>
      </c>
      <c r="CH20" t="s">
        <v>120</v>
      </c>
      <c r="CI20" t="s">
        <v>69</v>
      </c>
      <c r="CJ20">
        <v>133.10400000000001</v>
      </c>
      <c r="CK20" t="s">
        <v>69</v>
      </c>
      <c r="CL20" t="s">
        <v>69</v>
      </c>
      <c r="CM20">
        <v>557</v>
      </c>
      <c r="CN20" t="s">
        <v>115</v>
      </c>
      <c r="CO20" t="s">
        <v>69</v>
      </c>
      <c r="CP20" t="s">
        <v>71</v>
      </c>
      <c r="CQ20" t="s">
        <v>69</v>
      </c>
      <c r="CR20">
        <v>117.148</v>
      </c>
      <c r="CS20" t="s">
        <v>69</v>
      </c>
      <c r="CT20" t="s">
        <v>69</v>
      </c>
      <c r="CU20">
        <v>581</v>
      </c>
      <c r="CV20" t="s">
        <v>119</v>
      </c>
      <c r="CW20" t="s">
        <v>69</v>
      </c>
      <c r="CX20" t="s">
        <v>120</v>
      </c>
      <c r="CY20" t="s">
        <v>69</v>
      </c>
      <c r="CZ20">
        <v>147.131</v>
      </c>
      <c r="DA20" t="s">
        <v>69</v>
      </c>
      <c r="DB20" t="s">
        <v>69</v>
      </c>
      <c r="DC20">
        <v>595</v>
      </c>
      <c r="DD20" t="s">
        <v>147</v>
      </c>
      <c r="DE20" t="s">
        <v>69</v>
      </c>
      <c r="DF20" t="s">
        <v>148</v>
      </c>
      <c r="DG20" t="s">
        <v>69</v>
      </c>
      <c r="DH20">
        <v>146.14599999999999</v>
      </c>
      <c r="DI20" t="s">
        <v>69</v>
      </c>
      <c r="DJ20" t="s">
        <v>69</v>
      </c>
    </row>
    <row r="21" spans="1:114" x14ac:dyDescent="0.25">
      <c r="A21">
        <v>7</v>
      </c>
      <c r="B21" t="str">
        <f>HYPERLINK("http://www.ncbi.nlm.nih.gov/protein/XP_038300670.1","XP_038300670.1")</f>
        <v>XP_038300670.1</v>
      </c>
      <c r="C21">
        <v>136357</v>
      </c>
      <c r="D21" t="str">
        <f>HYPERLINK("http://www.ncbi.nlm.nih.gov/Taxonomy/Browser/wwwtax.cgi?mode=Info&amp;id=9615&amp;lvl=3&amp;lin=f&amp;keep=1&amp;srchmode=1&amp;unlock","9615")</f>
        <v>9615</v>
      </c>
      <c r="E21" t="s">
        <v>66</v>
      </c>
      <c r="F21" t="str">
        <f>HYPERLINK("http://www.ncbi.nlm.nih.gov/Taxonomy/Browser/wwwtax.cgi?mode=Info&amp;id=9615&amp;lvl=3&amp;lin=f&amp;keep=1&amp;srchmode=1&amp;unlock","Canis lupus familiaris")</f>
        <v>Canis lupus familiaris</v>
      </c>
      <c r="G21" t="s">
        <v>84</v>
      </c>
      <c r="H21" t="str">
        <f>HYPERLINK("http://www.ncbi.nlm.nih.gov/protein/XP_038300670.1","mitochondrial import receptor subunit TOM70 isoform X1")</f>
        <v>mitochondrial import receptor subunit TOM70 isoform X1</v>
      </c>
      <c r="I21" t="s">
        <v>270</v>
      </c>
      <c r="J21" t="s">
        <v>69</v>
      </c>
      <c r="K21">
        <v>220</v>
      </c>
      <c r="L21" t="s">
        <v>151</v>
      </c>
      <c r="M21" t="s">
        <v>69</v>
      </c>
      <c r="N21" t="s">
        <v>152</v>
      </c>
      <c r="O21" t="s">
        <v>69</v>
      </c>
      <c r="P21">
        <v>165.19200000000001</v>
      </c>
      <c r="Q21" t="s">
        <v>69</v>
      </c>
      <c r="R21" t="s">
        <v>69</v>
      </c>
      <c r="S21">
        <v>226</v>
      </c>
      <c r="T21" t="s">
        <v>116</v>
      </c>
      <c r="U21" t="s">
        <v>69</v>
      </c>
      <c r="V21" t="s">
        <v>117</v>
      </c>
      <c r="W21" t="s">
        <v>69</v>
      </c>
      <c r="X21">
        <v>149.208</v>
      </c>
      <c r="Y21" t="s">
        <v>69</v>
      </c>
      <c r="Z21" t="s">
        <v>69</v>
      </c>
      <c r="AA21">
        <v>380</v>
      </c>
      <c r="AB21" t="s">
        <v>147</v>
      </c>
      <c r="AC21" t="s">
        <v>69</v>
      </c>
      <c r="AD21" t="s">
        <v>148</v>
      </c>
      <c r="AE21" t="s">
        <v>69</v>
      </c>
      <c r="AF21">
        <v>146.14599999999999</v>
      </c>
      <c r="AG21" t="s">
        <v>69</v>
      </c>
      <c r="AH21" t="s">
        <v>69</v>
      </c>
      <c r="AI21">
        <v>382</v>
      </c>
      <c r="AJ21" t="s">
        <v>147</v>
      </c>
      <c r="AK21" t="s">
        <v>69</v>
      </c>
      <c r="AL21" t="s">
        <v>148</v>
      </c>
      <c r="AM21" t="s">
        <v>69</v>
      </c>
      <c r="AN21">
        <v>146.14599999999999</v>
      </c>
      <c r="AO21" t="s">
        <v>69</v>
      </c>
      <c r="AP21" t="s">
        <v>69</v>
      </c>
      <c r="AQ21">
        <v>414</v>
      </c>
      <c r="AR21" t="s">
        <v>72</v>
      </c>
      <c r="AS21" t="s">
        <v>69</v>
      </c>
      <c r="AT21" t="s">
        <v>71</v>
      </c>
      <c r="AU21" t="s">
        <v>69</v>
      </c>
      <c r="AV21">
        <v>131.17500000000001</v>
      </c>
      <c r="AW21" t="s">
        <v>69</v>
      </c>
      <c r="AX21" t="s">
        <v>69</v>
      </c>
      <c r="AY21">
        <v>448</v>
      </c>
      <c r="AZ21" t="s">
        <v>74</v>
      </c>
      <c r="BA21" t="s">
        <v>69</v>
      </c>
      <c r="BB21" t="s">
        <v>75</v>
      </c>
      <c r="BC21" t="s">
        <v>69</v>
      </c>
      <c r="BD21">
        <v>174.203</v>
      </c>
      <c r="BE21" t="s">
        <v>69</v>
      </c>
      <c r="BF21" t="s">
        <v>69</v>
      </c>
      <c r="BG21">
        <v>478</v>
      </c>
      <c r="BH21" t="s">
        <v>119</v>
      </c>
      <c r="BI21" t="s">
        <v>69</v>
      </c>
      <c r="BJ21" t="s">
        <v>120</v>
      </c>
      <c r="BK21" t="s">
        <v>69</v>
      </c>
      <c r="BL21">
        <v>147.131</v>
      </c>
      <c r="BM21" t="s">
        <v>69</v>
      </c>
      <c r="BN21" t="s">
        <v>69</v>
      </c>
      <c r="BO21">
        <v>485</v>
      </c>
      <c r="BP21" t="s">
        <v>147</v>
      </c>
      <c r="BQ21" t="s">
        <v>69</v>
      </c>
      <c r="BR21" t="s">
        <v>148</v>
      </c>
      <c r="BS21" t="s">
        <v>69</v>
      </c>
      <c r="BT21">
        <v>146.14599999999999</v>
      </c>
      <c r="BU21" t="s">
        <v>69</v>
      </c>
      <c r="BV21" t="s">
        <v>69</v>
      </c>
      <c r="BW21">
        <v>545</v>
      </c>
      <c r="BX21" t="s">
        <v>249</v>
      </c>
      <c r="BY21" t="s">
        <v>69</v>
      </c>
      <c r="BZ21" t="s">
        <v>117</v>
      </c>
      <c r="CA21" t="s">
        <v>69</v>
      </c>
      <c r="CB21">
        <v>121.154</v>
      </c>
      <c r="CC21" t="s">
        <v>69</v>
      </c>
      <c r="CD21" t="s">
        <v>69</v>
      </c>
      <c r="CE21">
        <v>546</v>
      </c>
      <c r="CF21" t="s">
        <v>156</v>
      </c>
      <c r="CG21" t="s">
        <v>69</v>
      </c>
      <c r="CH21" t="s">
        <v>120</v>
      </c>
      <c r="CI21" t="s">
        <v>69</v>
      </c>
      <c r="CJ21">
        <v>133.10400000000001</v>
      </c>
      <c r="CK21" t="s">
        <v>69</v>
      </c>
      <c r="CL21" t="s">
        <v>69</v>
      </c>
      <c r="CM21">
        <v>557</v>
      </c>
      <c r="CN21" t="s">
        <v>115</v>
      </c>
      <c r="CO21" t="s">
        <v>69</v>
      </c>
      <c r="CP21" t="s">
        <v>71</v>
      </c>
      <c r="CQ21" t="s">
        <v>69</v>
      </c>
      <c r="CR21">
        <v>117.148</v>
      </c>
      <c r="CS21" t="s">
        <v>69</v>
      </c>
      <c r="CT21" t="s">
        <v>69</v>
      </c>
      <c r="CU21">
        <v>581</v>
      </c>
      <c r="CV21" t="s">
        <v>119</v>
      </c>
      <c r="CW21" t="s">
        <v>69</v>
      </c>
      <c r="CX21" t="s">
        <v>120</v>
      </c>
      <c r="CY21" t="s">
        <v>69</v>
      </c>
      <c r="CZ21">
        <v>147.131</v>
      </c>
      <c r="DA21" t="s">
        <v>69</v>
      </c>
      <c r="DB21" t="s">
        <v>69</v>
      </c>
      <c r="DC21">
        <v>595</v>
      </c>
      <c r="DD21" t="s">
        <v>147</v>
      </c>
      <c r="DE21" t="s">
        <v>69</v>
      </c>
      <c r="DF21" t="s">
        <v>148</v>
      </c>
      <c r="DG21" t="s">
        <v>69</v>
      </c>
      <c r="DH21">
        <v>146.14599999999999</v>
      </c>
      <c r="DI21" t="s">
        <v>69</v>
      </c>
      <c r="DJ21" t="s">
        <v>69</v>
      </c>
    </row>
    <row r="22" spans="1:114" x14ac:dyDescent="0.25">
      <c r="A22">
        <v>7</v>
      </c>
      <c r="B22" t="str">
        <f>HYPERLINK("http://www.ncbi.nlm.nih.gov/protein/XP_025845718.1","XP_025845718.1")</f>
        <v>XP_025845718.1</v>
      </c>
      <c r="C22">
        <v>38435</v>
      </c>
      <c r="D22" t="str">
        <f>HYPERLINK("http://www.ncbi.nlm.nih.gov/Taxonomy/Browser/wwwtax.cgi?mode=Info&amp;id=9627&amp;lvl=3&amp;lin=f&amp;keep=1&amp;srchmode=1&amp;unlock","9627")</f>
        <v>9627</v>
      </c>
      <c r="E22" t="s">
        <v>66</v>
      </c>
      <c r="F22" t="str">
        <f>HYPERLINK("http://www.ncbi.nlm.nih.gov/Taxonomy/Browser/wwwtax.cgi?mode=Info&amp;id=9627&amp;lvl=3&amp;lin=f&amp;keep=1&amp;srchmode=1&amp;unlock","Vulpes vulpes")</f>
        <v>Vulpes vulpes</v>
      </c>
      <c r="G22" t="s">
        <v>95</v>
      </c>
      <c r="H22" t="str">
        <f>HYPERLINK("http://www.ncbi.nlm.nih.gov/protein/XP_025845718.1","mitochondrial import receptor subunit TOM70")</f>
        <v>mitochondrial import receptor subunit TOM70</v>
      </c>
      <c r="I22" t="s">
        <v>270</v>
      </c>
      <c r="J22" t="s">
        <v>69</v>
      </c>
      <c r="K22">
        <v>220</v>
      </c>
      <c r="L22" t="s">
        <v>151</v>
      </c>
      <c r="M22" t="s">
        <v>69</v>
      </c>
      <c r="N22" t="s">
        <v>152</v>
      </c>
      <c r="O22" t="s">
        <v>69</v>
      </c>
      <c r="P22">
        <v>165.19200000000001</v>
      </c>
      <c r="Q22" t="s">
        <v>69</v>
      </c>
      <c r="R22" t="s">
        <v>69</v>
      </c>
      <c r="S22">
        <v>226</v>
      </c>
      <c r="T22" t="s">
        <v>116</v>
      </c>
      <c r="U22" t="s">
        <v>69</v>
      </c>
      <c r="V22" t="s">
        <v>117</v>
      </c>
      <c r="W22" t="s">
        <v>69</v>
      </c>
      <c r="X22">
        <v>149.208</v>
      </c>
      <c r="Y22" t="s">
        <v>69</v>
      </c>
      <c r="Z22" t="s">
        <v>69</v>
      </c>
      <c r="AA22">
        <v>380</v>
      </c>
      <c r="AB22" t="s">
        <v>147</v>
      </c>
      <c r="AC22" t="s">
        <v>69</v>
      </c>
      <c r="AD22" t="s">
        <v>148</v>
      </c>
      <c r="AE22" t="s">
        <v>69</v>
      </c>
      <c r="AF22">
        <v>146.14599999999999</v>
      </c>
      <c r="AG22" t="s">
        <v>69</v>
      </c>
      <c r="AH22" t="s">
        <v>69</v>
      </c>
      <c r="AI22">
        <v>382</v>
      </c>
      <c r="AJ22" t="s">
        <v>147</v>
      </c>
      <c r="AK22" t="s">
        <v>69</v>
      </c>
      <c r="AL22" t="s">
        <v>148</v>
      </c>
      <c r="AM22" t="s">
        <v>69</v>
      </c>
      <c r="AN22">
        <v>146.14599999999999</v>
      </c>
      <c r="AO22" t="s">
        <v>69</v>
      </c>
      <c r="AP22" t="s">
        <v>69</v>
      </c>
      <c r="AQ22">
        <v>414</v>
      </c>
      <c r="AR22" t="s">
        <v>72</v>
      </c>
      <c r="AS22" t="s">
        <v>69</v>
      </c>
      <c r="AT22" t="s">
        <v>71</v>
      </c>
      <c r="AU22" t="s">
        <v>69</v>
      </c>
      <c r="AV22">
        <v>131.17500000000001</v>
      </c>
      <c r="AW22" t="s">
        <v>69</v>
      </c>
      <c r="AX22" t="s">
        <v>69</v>
      </c>
      <c r="AY22">
        <v>448</v>
      </c>
      <c r="AZ22" t="s">
        <v>74</v>
      </c>
      <c r="BA22" t="s">
        <v>69</v>
      </c>
      <c r="BB22" t="s">
        <v>75</v>
      </c>
      <c r="BC22" t="s">
        <v>69</v>
      </c>
      <c r="BD22">
        <v>174.203</v>
      </c>
      <c r="BE22" t="s">
        <v>69</v>
      </c>
      <c r="BF22" t="s">
        <v>69</v>
      </c>
      <c r="BG22">
        <v>478</v>
      </c>
      <c r="BH22" t="s">
        <v>119</v>
      </c>
      <c r="BI22" t="s">
        <v>69</v>
      </c>
      <c r="BJ22" t="s">
        <v>120</v>
      </c>
      <c r="BK22" t="s">
        <v>69</v>
      </c>
      <c r="BL22">
        <v>147.131</v>
      </c>
      <c r="BM22" t="s">
        <v>69</v>
      </c>
      <c r="BN22" t="s">
        <v>69</v>
      </c>
      <c r="BO22">
        <v>485</v>
      </c>
      <c r="BP22" t="s">
        <v>147</v>
      </c>
      <c r="BQ22" t="s">
        <v>69</v>
      </c>
      <c r="BR22" t="s">
        <v>148</v>
      </c>
      <c r="BS22" t="s">
        <v>69</v>
      </c>
      <c r="BT22">
        <v>146.14599999999999</v>
      </c>
      <c r="BU22" t="s">
        <v>69</v>
      </c>
      <c r="BV22" t="s">
        <v>69</v>
      </c>
      <c r="BW22">
        <v>545</v>
      </c>
      <c r="BX22" t="s">
        <v>249</v>
      </c>
      <c r="BY22" t="s">
        <v>69</v>
      </c>
      <c r="BZ22" t="s">
        <v>117</v>
      </c>
      <c r="CA22" t="s">
        <v>69</v>
      </c>
      <c r="CB22">
        <v>121.154</v>
      </c>
      <c r="CC22" t="s">
        <v>69</v>
      </c>
      <c r="CD22" t="s">
        <v>69</v>
      </c>
      <c r="CE22">
        <v>546</v>
      </c>
      <c r="CF22" t="s">
        <v>156</v>
      </c>
      <c r="CG22" t="s">
        <v>69</v>
      </c>
      <c r="CH22" t="s">
        <v>120</v>
      </c>
      <c r="CI22" t="s">
        <v>69</v>
      </c>
      <c r="CJ22">
        <v>133.10400000000001</v>
      </c>
      <c r="CK22" t="s">
        <v>69</v>
      </c>
      <c r="CL22" t="s">
        <v>69</v>
      </c>
      <c r="CM22">
        <v>557</v>
      </c>
      <c r="CN22" t="s">
        <v>115</v>
      </c>
      <c r="CO22" t="s">
        <v>69</v>
      </c>
      <c r="CP22" t="s">
        <v>71</v>
      </c>
      <c r="CQ22" t="s">
        <v>69</v>
      </c>
      <c r="CR22">
        <v>117.148</v>
      </c>
      <c r="CS22" t="s">
        <v>69</v>
      </c>
      <c r="CT22" t="s">
        <v>69</v>
      </c>
      <c r="CU22">
        <v>581</v>
      </c>
      <c r="CV22" t="s">
        <v>119</v>
      </c>
      <c r="CW22" t="s">
        <v>69</v>
      </c>
      <c r="CX22" t="s">
        <v>120</v>
      </c>
      <c r="CY22" t="s">
        <v>69</v>
      </c>
      <c r="CZ22">
        <v>147.131</v>
      </c>
      <c r="DA22" t="s">
        <v>69</v>
      </c>
      <c r="DB22" t="s">
        <v>69</v>
      </c>
      <c r="DC22">
        <v>595</v>
      </c>
      <c r="DD22" t="s">
        <v>147</v>
      </c>
      <c r="DE22" t="s">
        <v>69</v>
      </c>
      <c r="DF22" t="s">
        <v>148</v>
      </c>
      <c r="DG22" t="s">
        <v>69</v>
      </c>
      <c r="DH22">
        <v>146.14599999999999</v>
      </c>
      <c r="DI22" t="s">
        <v>69</v>
      </c>
      <c r="DJ22" t="s">
        <v>69</v>
      </c>
    </row>
    <row r="23" spans="1:114" x14ac:dyDescent="0.25">
      <c r="A23">
        <v>7</v>
      </c>
      <c r="B23" t="str">
        <f>HYPERLINK("http://www.ncbi.nlm.nih.gov/protein/XP_047420403.1","XP_047420403.1")</f>
        <v>XP_047420403.1</v>
      </c>
      <c r="C23">
        <v>74939</v>
      </c>
      <c r="D23" t="str">
        <f>HYPERLINK("http://www.ncbi.nlm.nih.gov/Taxonomy/Browser/wwwtax.cgi?mode=Info&amp;id=30640&amp;lvl=3&amp;lin=f&amp;keep=1&amp;srchmode=1&amp;unlock","30640")</f>
        <v>30640</v>
      </c>
      <c r="E23" t="s">
        <v>66</v>
      </c>
      <c r="F23" t="str">
        <f>HYPERLINK("http://www.ncbi.nlm.nih.gov/Taxonomy/Browser/wwwtax.cgi?mode=Info&amp;id=30640&amp;lvl=3&amp;lin=f&amp;keep=1&amp;srchmode=1&amp;unlock","Neosciurus carolinensis")</f>
        <v>Neosciurus carolinensis</v>
      </c>
      <c r="G23" t="s">
        <v>101</v>
      </c>
      <c r="H23" t="str">
        <f>HYPERLINK("http://www.ncbi.nlm.nih.gov/protein/XP_047420403.1","mitochondrial import receptor subunit TOM70")</f>
        <v>mitochondrial import receptor subunit TOM70</v>
      </c>
      <c r="I23" t="s">
        <v>270</v>
      </c>
      <c r="J23" t="s">
        <v>69</v>
      </c>
      <c r="K23">
        <v>220</v>
      </c>
      <c r="L23" t="s">
        <v>151</v>
      </c>
      <c r="M23" t="s">
        <v>69</v>
      </c>
      <c r="N23" t="s">
        <v>152</v>
      </c>
      <c r="O23" t="s">
        <v>69</v>
      </c>
      <c r="P23">
        <v>165.19200000000001</v>
      </c>
      <c r="Q23" t="s">
        <v>69</v>
      </c>
      <c r="R23" t="s">
        <v>69</v>
      </c>
      <c r="S23">
        <v>226</v>
      </c>
      <c r="T23" t="s">
        <v>116</v>
      </c>
      <c r="U23" t="s">
        <v>69</v>
      </c>
      <c r="V23" t="s">
        <v>117</v>
      </c>
      <c r="W23" t="s">
        <v>69</v>
      </c>
      <c r="X23">
        <v>149.208</v>
      </c>
      <c r="Y23" t="s">
        <v>69</v>
      </c>
      <c r="Z23" t="s">
        <v>69</v>
      </c>
      <c r="AA23">
        <v>380</v>
      </c>
      <c r="AB23" t="s">
        <v>147</v>
      </c>
      <c r="AC23" t="s">
        <v>69</v>
      </c>
      <c r="AD23" t="s">
        <v>148</v>
      </c>
      <c r="AE23" t="s">
        <v>69</v>
      </c>
      <c r="AF23">
        <v>146.14599999999999</v>
      </c>
      <c r="AG23" t="s">
        <v>69</v>
      </c>
      <c r="AH23" t="s">
        <v>69</v>
      </c>
      <c r="AI23">
        <v>382</v>
      </c>
      <c r="AJ23" t="s">
        <v>147</v>
      </c>
      <c r="AK23" t="s">
        <v>69</v>
      </c>
      <c r="AL23" t="s">
        <v>148</v>
      </c>
      <c r="AM23" t="s">
        <v>69</v>
      </c>
      <c r="AN23">
        <v>146.14599999999999</v>
      </c>
      <c r="AO23" t="s">
        <v>69</v>
      </c>
      <c r="AP23" t="s">
        <v>69</v>
      </c>
      <c r="AQ23">
        <v>414</v>
      </c>
      <c r="AR23" t="s">
        <v>72</v>
      </c>
      <c r="AS23" t="s">
        <v>69</v>
      </c>
      <c r="AT23" t="s">
        <v>71</v>
      </c>
      <c r="AU23" t="s">
        <v>69</v>
      </c>
      <c r="AV23">
        <v>131.17500000000001</v>
      </c>
      <c r="AW23" t="s">
        <v>69</v>
      </c>
      <c r="AX23" t="s">
        <v>69</v>
      </c>
      <c r="AY23">
        <v>448</v>
      </c>
      <c r="AZ23" t="s">
        <v>74</v>
      </c>
      <c r="BA23" t="s">
        <v>69</v>
      </c>
      <c r="BB23" t="s">
        <v>75</v>
      </c>
      <c r="BC23" t="s">
        <v>69</v>
      </c>
      <c r="BD23">
        <v>174.203</v>
      </c>
      <c r="BE23" t="s">
        <v>69</v>
      </c>
      <c r="BF23" t="s">
        <v>69</v>
      </c>
      <c r="BG23">
        <v>478</v>
      </c>
      <c r="BH23" t="s">
        <v>119</v>
      </c>
      <c r="BI23" t="s">
        <v>69</v>
      </c>
      <c r="BJ23" t="s">
        <v>120</v>
      </c>
      <c r="BK23" t="s">
        <v>69</v>
      </c>
      <c r="BL23">
        <v>147.131</v>
      </c>
      <c r="BM23" t="s">
        <v>69</v>
      </c>
      <c r="BN23" t="s">
        <v>69</v>
      </c>
      <c r="BO23">
        <v>485</v>
      </c>
      <c r="BP23" t="s">
        <v>147</v>
      </c>
      <c r="BQ23" t="s">
        <v>69</v>
      </c>
      <c r="BR23" t="s">
        <v>148</v>
      </c>
      <c r="BS23" t="s">
        <v>69</v>
      </c>
      <c r="BT23">
        <v>146.14599999999999</v>
      </c>
      <c r="BU23" t="s">
        <v>69</v>
      </c>
      <c r="BV23" t="s">
        <v>69</v>
      </c>
      <c r="BW23">
        <v>545</v>
      </c>
      <c r="BX23" t="s">
        <v>249</v>
      </c>
      <c r="BY23" t="s">
        <v>69</v>
      </c>
      <c r="BZ23" t="s">
        <v>117</v>
      </c>
      <c r="CA23" t="s">
        <v>69</v>
      </c>
      <c r="CB23">
        <v>121.154</v>
      </c>
      <c r="CC23" t="s">
        <v>69</v>
      </c>
      <c r="CD23" t="s">
        <v>69</v>
      </c>
      <c r="CE23">
        <v>546</v>
      </c>
      <c r="CF23" t="s">
        <v>156</v>
      </c>
      <c r="CG23" t="s">
        <v>69</v>
      </c>
      <c r="CH23" t="s">
        <v>120</v>
      </c>
      <c r="CI23" t="s">
        <v>69</v>
      </c>
      <c r="CJ23">
        <v>133.10400000000001</v>
      </c>
      <c r="CK23" t="s">
        <v>69</v>
      </c>
      <c r="CL23" t="s">
        <v>69</v>
      </c>
      <c r="CM23">
        <v>557</v>
      </c>
      <c r="CN23" t="s">
        <v>115</v>
      </c>
      <c r="CO23" t="s">
        <v>69</v>
      </c>
      <c r="CP23" t="s">
        <v>71</v>
      </c>
      <c r="CQ23" t="s">
        <v>69</v>
      </c>
      <c r="CR23">
        <v>117.148</v>
      </c>
      <c r="CS23" t="s">
        <v>69</v>
      </c>
      <c r="CT23" t="s">
        <v>69</v>
      </c>
      <c r="CU23">
        <v>581</v>
      </c>
      <c r="CV23" t="s">
        <v>119</v>
      </c>
      <c r="CW23" t="s">
        <v>69</v>
      </c>
      <c r="CX23" t="s">
        <v>120</v>
      </c>
      <c r="CY23" t="s">
        <v>69</v>
      </c>
      <c r="CZ23">
        <v>147.131</v>
      </c>
      <c r="DA23" t="s">
        <v>69</v>
      </c>
      <c r="DB23" t="s">
        <v>69</v>
      </c>
      <c r="DC23">
        <v>595</v>
      </c>
      <c r="DD23" t="s">
        <v>147</v>
      </c>
      <c r="DE23" t="s">
        <v>69</v>
      </c>
      <c r="DF23" t="s">
        <v>148</v>
      </c>
      <c r="DG23" t="s">
        <v>69</v>
      </c>
      <c r="DH23">
        <v>146.14599999999999</v>
      </c>
      <c r="DI23" t="s">
        <v>69</v>
      </c>
      <c r="DJ23" t="s">
        <v>69</v>
      </c>
    </row>
    <row r="24" spans="1:114" x14ac:dyDescent="0.25">
      <c r="A24">
        <v>7</v>
      </c>
      <c r="B24" t="str">
        <f>HYPERLINK("http://www.ncbi.nlm.nih.gov/protein/XP_036854522.1","XP_036854522.1")</f>
        <v>XP_036854522.1</v>
      </c>
      <c r="C24">
        <v>56064</v>
      </c>
      <c r="D24" t="str">
        <f>HYPERLINK("http://www.ncbi.nlm.nih.gov/Taxonomy/Browser/wwwtax.cgi?mode=Info&amp;id=9974&amp;lvl=3&amp;lin=f&amp;keep=1&amp;srchmode=1&amp;unlock","9974")</f>
        <v>9974</v>
      </c>
      <c r="E24" t="s">
        <v>66</v>
      </c>
      <c r="F24" t="str">
        <f>HYPERLINK("http://www.ncbi.nlm.nih.gov/Taxonomy/Browser/wwwtax.cgi?mode=Info&amp;id=9974&amp;lvl=3&amp;lin=f&amp;keep=1&amp;srchmode=1&amp;unlock","Manis javanica")</f>
        <v>Manis javanica</v>
      </c>
      <c r="G24" t="s">
        <v>100</v>
      </c>
      <c r="H24" t="str">
        <f>HYPERLINK("http://www.ncbi.nlm.nih.gov/protein/XP_036854522.1","mitochondrial import receptor subunit TOM70")</f>
        <v>mitochondrial import receptor subunit TOM70</v>
      </c>
      <c r="I24" t="s">
        <v>270</v>
      </c>
      <c r="J24" t="s">
        <v>69</v>
      </c>
      <c r="K24">
        <v>221</v>
      </c>
      <c r="L24" t="s">
        <v>151</v>
      </c>
      <c r="M24" t="s">
        <v>69</v>
      </c>
      <c r="N24" t="s">
        <v>152</v>
      </c>
      <c r="O24" t="s">
        <v>69</v>
      </c>
      <c r="P24">
        <v>165.19200000000001</v>
      </c>
      <c r="Q24" t="s">
        <v>69</v>
      </c>
      <c r="R24" t="s">
        <v>69</v>
      </c>
      <c r="S24">
        <v>227</v>
      </c>
      <c r="T24" t="s">
        <v>116</v>
      </c>
      <c r="U24" t="s">
        <v>69</v>
      </c>
      <c r="V24" t="s">
        <v>117</v>
      </c>
      <c r="W24" t="s">
        <v>69</v>
      </c>
      <c r="X24">
        <v>149.208</v>
      </c>
      <c r="Y24" t="s">
        <v>69</v>
      </c>
      <c r="Z24" t="s">
        <v>69</v>
      </c>
      <c r="AA24">
        <v>381</v>
      </c>
      <c r="AB24" t="s">
        <v>147</v>
      </c>
      <c r="AC24" t="s">
        <v>69</v>
      </c>
      <c r="AD24" t="s">
        <v>148</v>
      </c>
      <c r="AE24" t="s">
        <v>69</v>
      </c>
      <c r="AF24">
        <v>146.14599999999999</v>
      </c>
      <c r="AG24" t="s">
        <v>69</v>
      </c>
      <c r="AH24" t="s">
        <v>69</v>
      </c>
      <c r="AI24">
        <v>383</v>
      </c>
      <c r="AJ24" t="s">
        <v>147</v>
      </c>
      <c r="AK24" t="s">
        <v>69</v>
      </c>
      <c r="AL24" t="s">
        <v>148</v>
      </c>
      <c r="AM24" t="s">
        <v>69</v>
      </c>
      <c r="AN24">
        <v>146.14599999999999</v>
      </c>
      <c r="AO24" t="s">
        <v>69</v>
      </c>
      <c r="AP24" t="s">
        <v>69</v>
      </c>
      <c r="AQ24">
        <v>415</v>
      </c>
      <c r="AR24" t="s">
        <v>72</v>
      </c>
      <c r="AS24" t="s">
        <v>69</v>
      </c>
      <c r="AT24" t="s">
        <v>71</v>
      </c>
      <c r="AU24" t="s">
        <v>69</v>
      </c>
      <c r="AV24">
        <v>131.17500000000001</v>
      </c>
      <c r="AW24" t="s">
        <v>69</v>
      </c>
      <c r="AX24" t="s">
        <v>69</v>
      </c>
      <c r="AY24">
        <v>449</v>
      </c>
      <c r="AZ24" t="s">
        <v>74</v>
      </c>
      <c r="BA24" t="s">
        <v>69</v>
      </c>
      <c r="BB24" t="s">
        <v>75</v>
      </c>
      <c r="BC24" t="s">
        <v>69</v>
      </c>
      <c r="BD24">
        <v>174.203</v>
      </c>
      <c r="BE24" t="s">
        <v>69</v>
      </c>
      <c r="BF24" t="s">
        <v>69</v>
      </c>
      <c r="BG24">
        <v>479</v>
      </c>
      <c r="BH24" t="s">
        <v>119</v>
      </c>
      <c r="BI24" t="s">
        <v>69</v>
      </c>
      <c r="BJ24" t="s">
        <v>120</v>
      </c>
      <c r="BK24" t="s">
        <v>69</v>
      </c>
      <c r="BL24">
        <v>147.131</v>
      </c>
      <c r="BM24" t="s">
        <v>69</v>
      </c>
      <c r="BN24" t="s">
        <v>69</v>
      </c>
      <c r="BO24">
        <v>486</v>
      </c>
      <c r="BP24" t="s">
        <v>147</v>
      </c>
      <c r="BQ24" t="s">
        <v>69</v>
      </c>
      <c r="BR24" t="s">
        <v>148</v>
      </c>
      <c r="BS24" t="s">
        <v>69</v>
      </c>
      <c r="BT24">
        <v>146.14599999999999</v>
      </c>
      <c r="BU24" t="s">
        <v>69</v>
      </c>
      <c r="BV24" t="s">
        <v>69</v>
      </c>
      <c r="BW24">
        <v>546</v>
      </c>
      <c r="BX24" t="s">
        <v>249</v>
      </c>
      <c r="BY24" t="s">
        <v>69</v>
      </c>
      <c r="BZ24" t="s">
        <v>117</v>
      </c>
      <c r="CA24" t="s">
        <v>69</v>
      </c>
      <c r="CB24">
        <v>121.154</v>
      </c>
      <c r="CC24" t="s">
        <v>69</v>
      </c>
      <c r="CD24" t="s">
        <v>69</v>
      </c>
      <c r="CE24">
        <v>547</v>
      </c>
      <c r="CF24" t="s">
        <v>156</v>
      </c>
      <c r="CG24" t="s">
        <v>69</v>
      </c>
      <c r="CH24" t="s">
        <v>120</v>
      </c>
      <c r="CI24" t="s">
        <v>69</v>
      </c>
      <c r="CJ24">
        <v>133.10400000000001</v>
      </c>
      <c r="CK24" t="s">
        <v>69</v>
      </c>
      <c r="CL24" t="s">
        <v>69</v>
      </c>
      <c r="CM24">
        <v>558</v>
      </c>
      <c r="CN24" t="s">
        <v>115</v>
      </c>
      <c r="CO24" t="s">
        <v>69</v>
      </c>
      <c r="CP24" t="s">
        <v>71</v>
      </c>
      <c r="CQ24" t="s">
        <v>69</v>
      </c>
      <c r="CR24">
        <v>117.148</v>
      </c>
      <c r="CS24" t="s">
        <v>69</v>
      </c>
      <c r="CT24" t="s">
        <v>69</v>
      </c>
      <c r="CU24">
        <v>582</v>
      </c>
      <c r="CV24" t="s">
        <v>119</v>
      </c>
      <c r="CW24" t="s">
        <v>69</v>
      </c>
      <c r="CX24" t="s">
        <v>120</v>
      </c>
      <c r="CY24" t="s">
        <v>69</v>
      </c>
      <c r="CZ24">
        <v>147.131</v>
      </c>
      <c r="DA24" t="s">
        <v>69</v>
      </c>
      <c r="DB24" t="s">
        <v>69</v>
      </c>
      <c r="DC24">
        <v>596</v>
      </c>
      <c r="DD24" t="s">
        <v>147</v>
      </c>
      <c r="DE24" t="s">
        <v>69</v>
      </c>
      <c r="DF24" t="s">
        <v>148</v>
      </c>
      <c r="DG24" t="s">
        <v>69</v>
      </c>
      <c r="DH24">
        <v>146.14599999999999</v>
      </c>
      <c r="DI24" t="s">
        <v>69</v>
      </c>
      <c r="DJ24" t="s">
        <v>69</v>
      </c>
    </row>
    <row r="25" spans="1:114" x14ac:dyDescent="0.25">
      <c r="A25">
        <v>7</v>
      </c>
      <c r="B25" t="str">
        <f>HYPERLINK("http://www.ncbi.nlm.nih.gov/protein/XP_003893908.2","XP_003893908.2")</f>
        <v>XP_003893908.2</v>
      </c>
      <c r="C25">
        <v>73529</v>
      </c>
      <c r="D25" t="str">
        <f>HYPERLINK("http://www.ncbi.nlm.nih.gov/Taxonomy/Browser/wwwtax.cgi?mode=Info&amp;id=9555&amp;lvl=3&amp;lin=f&amp;keep=1&amp;srchmode=1&amp;unlock","9555")</f>
        <v>9555</v>
      </c>
      <c r="E25" t="s">
        <v>66</v>
      </c>
      <c r="F25" t="str">
        <f>HYPERLINK("http://www.ncbi.nlm.nih.gov/Taxonomy/Browser/wwwtax.cgi?mode=Info&amp;id=9555&amp;lvl=3&amp;lin=f&amp;keep=1&amp;srchmode=1&amp;unlock","Papio anubis")</f>
        <v>Papio anubis</v>
      </c>
      <c r="G25" t="s">
        <v>80</v>
      </c>
      <c r="H25" t="str">
        <f>HYPERLINK("http://www.ncbi.nlm.nih.gov/protein/XP_003893908.2","mitochondrial import receptor subunit TOM70")</f>
        <v>mitochondrial import receptor subunit TOM70</v>
      </c>
      <c r="I25" t="s">
        <v>270</v>
      </c>
      <c r="J25" t="s">
        <v>153</v>
      </c>
      <c r="K25">
        <v>219</v>
      </c>
      <c r="L25" t="s">
        <v>151</v>
      </c>
      <c r="M25" t="s">
        <v>69</v>
      </c>
      <c r="N25" t="s">
        <v>152</v>
      </c>
      <c r="O25" t="s">
        <v>69</v>
      </c>
      <c r="P25">
        <v>165.19200000000001</v>
      </c>
      <c r="Q25" t="s">
        <v>69</v>
      </c>
      <c r="R25" t="s">
        <v>69</v>
      </c>
      <c r="S25">
        <v>225</v>
      </c>
      <c r="T25" t="s">
        <v>116</v>
      </c>
      <c r="U25" t="s">
        <v>69</v>
      </c>
      <c r="V25" t="s">
        <v>117</v>
      </c>
      <c r="W25" t="s">
        <v>69</v>
      </c>
      <c r="X25">
        <v>149.208</v>
      </c>
      <c r="Y25" t="s">
        <v>69</v>
      </c>
      <c r="Z25" t="s">
        <v>69</v>
      </c>
      <c r="AA25">
        <v>379</v>
      </c>
      <c r="AB25" t="s">
        <v>147</v>
      </c>
      <c r="AC25" t="s">
        <v>69</v>
      </c>
      <c r="AD25" t="s">
        <v>148</v>
      </c>
      <c r="AE25" t="s">
        <v>69</v>
      </c>
      <c r="AF25">
        <v>146.14599999999999</v>
      </c>
      <c r="AG25" t="s">
        <v>69</v>
      </c>
      <c r="AH25" t="s">
        <v>69</v>
      </c>
      <c r="AI25">
        <v>381</v>
      </c>
      <c r="AJ25" t="s">
        <v>147</v>
      </c>
      <c r="AK25" t="s">
        <v>69</v>
      </c>
      <c r="AL25" t="s">
        <v>148</v>
      </c>
      <c r="AM25" t="s">
        <v>69</v>
      </c>
      <c r="AN25">
        <v>146.14599999999999</v>
      </c>
      <c r="AO25" t="s">
        <v>69</v>
      </c>
      <c r="AP25" t="s">
        <v>69</v>
      </c>
      <c r="AQ25">
        <v>413</v>
      </c>
      <c r="AR25" t="s">
        <v>72</v>
      </c>
      <c r="AS25" t="s">
        <v>69</v>
      </c>
      <c r="AT25" t="s">
        <v>71</v>
      </c>
      <c r="AU25" t="s">
        <v>69</v>
      </c>
      <c r="AV25">
        <v>131.17500000000001</v>
      </c>
      <c r="AW25" t="s">
        <v>69</v>
      </c>
      <c r="AX25" t="s">
        <v>69</v>
      </c>
      <c r="AY25">
        <v>447</v>
      </c>
      <c r="AZ25" t="s">
        <v>74</v>
      </c>
      <c r="BA25" t="s">
        <v>69</v>
      </c>
      <c r="BB25" t="s">
        <v>75</v>
      </c>
      <c r="BC25" t="s">
        <v>69</v>
      </c>
      <c r="BD25">
        <v>174.203</v>
      </c>
      <c r="BE25" t="s">
        <v>69</v>
      </c>
      <c r="BF25" t="s">
        <v>69</v>
      </c>
      <c r="BG25">
        <v>477</v>
      </c>
      <c r="BH25" t="s">
        <v>119</v>
      </c>
      <c r="BI25" t="s">
        <v>69</v>
      </c>
      <c r="BJ25" t="s">
        <v>120</v>
      </c>
      <c r="BK25" t="s">
        <v>69</v>
      </c>
      <c r="BL25">
        <v>147.131</v>
      </c>
      <c r="BM25" t="s">
        <v>69</v>
      </c>
      <c r="BN25" t="s">
        <v>69</v>
      </c>
      <c r="BO25">
        <v>484</v>
      </c>
      <c r="BP25" t="s">
        <v>147</v>
      </c>
      <c r="BQ25" t="s">
        <v>69</v>
      </c>
      <c r="BR25" t="s">
        <v>148</v>
      </c>
      <c r="BS25" t="s">
        <v>69</v>
      </c>
      <c r="BT25">
        <v>146.14599999999999</v>
      </c>
      <c r="BU25" t="s">
        <v>69</v>
      </c>
      <c r="BV25" t="s">
        <v>69</v>
      </c>
      <c r="BW25">
        <v>544</v>
      </c>
      <c r="BX25" t="s">
        <v>249</v>
      </c>
      <c r="BY25" t="s">
        <v>69</v>
      </c>
      <c r="BZ25" t="s">
        <v>117</v>
      </c>
      <c r="CA25" t="s">
        <v>69</v>
      </c>
      <c r="CB25">
        <v>121.154</v>
      </c>
      <c r="CC25" t="s">
        <v>69</v>
      </c>
      <c r="CD25" t="s">
        <v>69</v>
      </c>
      <c r="CE25">
        <v>545</v>
      </c>
      <c r="CF25" t="s">
        <v>156</v>
      </c>
      <c r="CG25" t="s">
        <v>69</v>
      </c>
      <c r="CH25" t="s">
        <v>120</v>
      </c>
      <c r="CI25" t="s">
        <v>69</v>
      </c>
      <c r="CJ25">
        <v>133.10400000000001</v>
      </c>
      <c r="CK25" t="s">
        <v>69</v>
      </c>
      <c r="CL25" t="s">
        <v>69</v>
      </c>
      <c r="CM25">
        <v>556</v>
      </c>
      <c r="CN25" t="s">
        <v>115</v>
      </c>
      <c r="CO25" t="s">
        <v>69</v>
      </c>
      <c r="CP25" t="s">
        <v>71</v>
      </c>
      <c r="CQ25" t="s">
        <v>69</v>
      </c>
      <c r="CR25">
        <v>117.148</v>
      </c>
      <c r="CS25" t="s">
        <v>69</v>
      </c>
      <c r="CT25" t="s">
        <v>69</v>
      </c>
      <c r="CU25">
        <v>580</v>
      </c>
      <c r="CV25" t="s">
        <v>119</v>
      </c>
      <c r="CW25" t="s">
        <v>69</v>
      </c>
      <c r="CX25" t="s">
        <v>120</v>
      </c>
      <c r="CY25" t="s">
        <v>69</v>
      </c>
      <c r="CZ25">
        <v>147.131</v>
      </c>
      <c r="DA25" t="s">
        <v>69</v>
      </c>
      <c r="DB25" t="s">
        <v>69</v>
      </c>
      <c r="DC25">
        <v>594</v>
      </c>
      <c r="DD25" t="s">
        <v>146</v>
      </c>
      <c r="DE25" t="s">
        <v>153</v>
      </c>
      <c r="DF25" t="s">
        <v>71</v>
      </c>
      <c r="DG25" t="s">
        <v>153</v>
      </c>
      <c r="DH25">
        <v>115.13200000000001</v>
      </c>
      <c r="DI25" t="s">
        <v>153</v>
      </c>
      <c r="DJ25" t="s">
        <v>153</v>
      </c>
    </row>
    <row r="26" spans="1:114" x14ac:dyDescent="0.25">
      <c r="A26">
        <v>7</v>
      </c>
      <c r="B26" t="str">
        <f>HYPERLINK("http://www.ncbi.nlm.nih.gov/protein/NP_001068796.1","NP_001068796.1")</f>
        <v>NP_001068796.1</v>
      </c>
      <c r="C26">
        <v>136186</v>
      </c>
      <c r="D26" t="str">
        <f>HYPERLINK("http://www.ncbi.nlm.nih.gov/Taxonomy/Browser/wwwtax.cgi?mode=Info&amp;id=9913&amp;lvl=3&amp;lin=f&amp;keep=1&amp;srchmode=1&amp;unlock","9913")</f>
        <v>9913</v>
      </c>
      <c r="E26" t="s">
        <v>66</v>
      </c>
      <c r="F26" t="str">
        <f>HYPERLINK("http://www.ncbi.nlm.nih.gov/Taxonomy/Browser/wwwtax.cgi?mode=Info&amp;id=9913&amp;lvl=3&amp;lin=f&amp;keep=1&amp;srchmode=1&amp;unlock","Bos taurus")</f>
        <v>Bos taurus</v>
      </c>
      <c r="G26" t="s">
        <v>82</v>
      </c>
      <c r="H26" t="str">
        <f>HYPERLINK("http://www.ncbi.nlm.nih.gov/protein/NP_001068796.1","mitochondrial import receptor subunit TOM70")</f>
        <v>mitochondrial import receptor subunit TOM70</v>
      </c>
      <c r="I26" t="s">
        <v>270</v>
      </c>
      <c r="J26" t="s">
        <v>69</v>
      </c>
      <c r="K26">
        <v>220</v>
      </c>
      <c r="L26" t="s">
        <v>151</v>
      </c>
      <c r="M26" t="s">
        <v>69</v>
      </c>
      <c r="N26" t="s">
        <v>152</v>
      </c>
      <c r="O26" t="s">
        <v>69</v>
      </c>
      <c r="P26">
        <v>165.19200000000001</v>
      </c>
      <c r="Q26" t="s">
        <v>69</v>
      </c>
      <c r="R26" t="s">
        <v>69</v>
      </c>
      <c r="S26">
        <v>226</v>
      </c>
      <c r="T26" t="s">
        <v>116</v>
      </c>
      <c r="U26" t="s">
        <v>69</v>
      </c>
      <c r="V26" t="s">
        <v>117</v>
      </c>
      <c r="W26" t="s">
        <v>69</v>
      </c>
      <c r="X26">
        <v>149.208</v>
      </c>
      <c r="Y26" t="s">
        <v>69</v>
      </c>
      <c r="Z26" t="s">
        <v>69</v>
      </c>
      <c r="AA26">
        <v>380</v>
      </c>
      <c r="AB26" t="s">
        <v>147</v>
      </c>
      <c r="AC26" t="s">
        <v>69</v>
      </c>
      <c r="AD26" t="s">
        <v>148</v>
      </c>
      <c r="AE26" t="s">
        <v>69</v>
      </c>
      <c r="AF26">
        <v>146.14599999999999</v>
      </c>
      <c r="AG26" t="s">
        <v>69</v>
      </c>
      <c r="AH26" t="s">
        <v>69</v>
      </c>
      <c r="AI26">
        <v>382</v>
      </c>
      <c r="AJ26" t="s">
        <v>147</v>
      </c>
      <c r="AK26" t="s">
        <v>69</v>
      </c>
      <c r="AL26" t="s">
        <v>148</v>
      </c>
      <c r="AM26" t="s">
        <v>69</v>
      </c>
      <c r="AN26">
        <v>146.14599999999999</v>
      </c>
      <c r="AO26" t="s">
        <v>69</v>
      </c>
      <c r="AP26" t="s">
        <v>69</v>
      </c>
      <c r="AQ26">
        <v>414</v>
      </c>
      <c r="AR26" t="s">
        <v>72</v>
      </c>
      <c r="AS26" t="s">
        <v>69</v>
      </c>
      <c r="AT26" t="s">
        <v>71</v>
      </c>
      <c r="AU26" t="s">
        <v>69</v>
      </c>
      <c r="AV26">
        <v>131.17500000000001</v>
      </c>
      <c r="AW26" t="s">
        <v>69</v>
      </c>
      <c r="AX26" t="s">
        <v>69</v>
      </c>
      <c r="AY26">
        <v>448</v>
      </c>
      <c r="AZ26" t="s">
        <v>74</v>
      </c>
      <c r="BA26" t="s">
        <v>69</v>
      </c>
      <c r="BB26" t="s">
        <v>75</v>
      </c>
      <c r="BC26" t="s">
        <v>69</v>
      </c>
      <c r="BD26">
        <v>174.203</v>
      </c>
      <c r="BE26" t="s">
        <v>69</v>
      </c>
      <c r="BF26" t="s">
        <v>69</v>
      </c>
      <c r="BG26">
        <v>478</v>
      </c>
      <c r="BH26" t="s">
        <v>119</v>
      </c>
      <c r="BI26" t="s">
        <v>69</v>
      </c>
      <c r="BJ26" t="s">
        <v>120</v>
      </c>
      <c r="BK26" t="s">
        <v>69</v>
      </c>
      <c r="BL26">
        <v>147.131</v>
      </c>
      <c r="BM26" t="s">
        <v>69</v>
      </c>
      <c r="BN26" t="s">
        <v>69</v>
      </c>
      <c r="BO26">
        <v>485</v>
      </c>
      <c r="BP26" t="s">
        <v>147</v>
      </c>
      <c r="BQ26" t="s">
        <v>69</v>
      </c>
      <c r="BR26" t="s">
        <v>148</v>
      </c>
      <c r="BS26" t="s">
        <v>69</v>
      </c>
      <c r="BT26">
        <v>146.14599999999999</v>
      </c>
      <c r="BU26" t="s">
        <v>69</v>
      </c>
      <c r="BV26" t="s">
        <v>69</v>
      </c>
      <c r="BW26">
        <v>545</v>
      </c>
      <c r="BX26" t="s">
        <v>249</v>
      </c>
      <c r="BY26" t="s">
        <v>69</v>
      </c>
      <c r="BZ26" t="s">
        <v>117</v>
      </c>
      <c r="CA26" t="s">
        <v>69</v>
      </c>
      <c r="CB26">
        <v>121.154</v>
      </c>
      <c r="CC26" t="s">
        <v>69</v>
      </c>
      <c r="CD26" t="s">
        <v>69</v>
      </c>
      <c r="CE26">
        <v>546</v>
      </c>
      <c r="CF26" t="s">
        <v>156</v>
      </c>
      <c r="CG26" t="s">
        <v>69</v>
      </c>
      <c r="CH26" t="s">
        <v>120</v>
      </c>
      <c r="CI26" t="s">
        <v>69</v>
      </c>
      <c r="CJ26">
        <v>133.10400000000001</v>
      </c>
      <c r="CK26" t="s">
        <v>69</v>
      </c>
      <c r="CL26" t="s">
        <v>69</v>
      </c>
      <c r="CM26">
        <v>557</v>
      </c>
      <c r="CN26" t="s">
        <v>115</v>
      </c>
      <c r="CO26" t="s">
        <v>69</v>
      </c>
      <c r="CP26" t="s">
        <v>71</v>
      </c>
      <c r="CQ26" t="s">
        <v>69</v>
      </c>
      <c r="CR26">
        <v>117.148</v>
      </c>
      <c r="CS26" t="s">
        <v>69</v>
      </c>
      <c r="CT26" t="s">
        <v>69</v>
      </c>
      <c r="CU26">
        <v>581</v>
      </c>
      <c r="CV26" t="s">
        <v>119</v>
      </c>
      <c r="CW26" t="s">
        <v>69</v>
      </c>
      <c r="CX26" t="s">
        <v>120</v>
      </c>
      <c r="CY26" t="s">
        <v>69</v>
      </c>
      <c r="CZ26">
        <v>147.131</v>
      </c>
      <c r="DA26" t="s">
        <v>69</v>
      </c>
      <c r="DB26" t="s">
        <v>69</v>
      </c>
      <c r="DC26">
        <v>595</v>
      </c>
      <c r="DD26" t="s">
        <v>147</v>
      </c>
      <c r="DE26" t="s">
        <v>69</v>
      </c>
      <c r="DF26" t="s">
        <v>148</v>
      </c>
      <c r="DG26" t="s">
        <v>69</v>
      </c>
      <c r="DH26">
        <v>146.14599999999999</v>
      </c>
      <c r="DI26" t="s">
        <v>69</v>
      </c>
      <c r="DJ26" t="s">
        <v>69</v>
      </c>
    </row>
    <row r="27" spans="1:114" x14ac:dyDescent="0.25">
      <c r="A27">
        <v>7</v>
      </c>
      <c r="B27" t="str">
        <f>HYPERLINK("http://www.ncbi.nlm.nih.gov/protein/XP_020772388.1","XP_020772388.1")</f>
        <v>XP_020772388.1</v>
      </c>
      <c r="C27">
        <v>48218</v>
      </c>
      <c r="D27" t="str">
        <f>HYPERLINK("http://www.ncbi.nlm.nih.gov/Taxonomy/Browser/wwwtax.cgi?mode=Info&amp;id=9880&amp;lvl=3&amp;lin=f&amp;keep=1&amp;srchmode=1&amp;unlock","9880")</f>
        <v>9880</v>
      </c>
      <c r="E27" t="s">
        <v>66</v>
      </c>
      <c r="F27" t="str">
        <f>HYPERLINK("http://www.ncbi.nlm.nih.gov/Taxonomy/Browser/wwwtax.cgi?mode=Info&amp;id=9880&amp;lvl=3&amp;lin=f&amp;keep=1&amp;srchmode=1&amp;unlock","Odocoileus virginianus texanus")</f>
        <v>Odocoileus virginianus texanus</v>
      </c>
      <c r="G27" t="s">
        <v>81</v>
      </c>
      <c r="H27" t="str">
        <f>HYPERLINK("http://www.ncbi.nlm.nih.gov/protein/XP_020772388.1","mitochondrial import receptor subunit TOM70")</f>
        <v>mitochondrial import receptor subunit TOM70</v>
      </c>
      <c r="I27" t="s">
        <v>270</v>
      </c>
      <c r="J27" t="s">
        <v>69</v>
      </c>
      <c r="K27">
        <v>220</v>
      </c>
      <c r="L27" t="s">
        <v>151</v>
      </c>
      <c r="M27" t="s">
        <v>69</v>
      </c>
      <c r="N27" t="s">
        <v>152</v>
      </c>
      <c r="O27" t="s">
        <v>69</v>
      </c>
      <c r="P27">
        <v>165.19200000000001</v>
      </c>
      <c r="Q27" t="s">
        <v>69</v>
      </c>
      <c r="R27" t="s">
        <v>69</v>
      </c>
      <c r="S27">
        <v>226</v>
      </c>
      <c r="T27" t="s">
        <v>116</v>
      </c>
      <c r="U27" t="s">
        <v>69</v>
      </c>
      <c r="V27" t="s">
        <v>117</v>
      </c>
      <c r="W27" t="s">
        <v>69</v>
      </c>
      <c r="X27">
        <v>149.208</v>
      </c>
      <c r="Y27" t="s">
        <v>69</v>
      </c>
      <c r="Z27" t="s">
        <v>69</v>
      </c>
      <c r="AA27">
        <v>380</v>
      </c>
      <c r="AB27" t="s">
        <v>147</v>
      </c>
      <c r="AC27" t="s">
        <v>69</v>
      </c>
      <c r="AD27" t="s">
        <v>148</v>
      </c>
      <c r="AE27" t="s">
        <v>69</v>
      </c>
      <c r="AF27">
        <v>146.14599999999999</v>
      </c>
      <c r="AG27" t="s">
        <v>69</v>
      </c>
      <c r="AH27" t="s">
        <v>69</v>
      </c>
      <c r="AI27">
        <v>382</v>
      </c>
      <c r="AJ27" t="s">
        <v>147</v>
      </c>
      <c r="AK27" t="s">
        <v>69</v>
      </c>
      <c r="AL27" t="s">
        <v>148</v>
      </c>
      <c r="AM27" t="s">
        <v>69</v>
      </c>
      <c r="AN27">
        <v>146.14599999999999</v>
      </c>
      <c r="AO27" t="s">
        <v>69</v>
      </c>
      <c r="AP27" t="s">
        <v>69</v>
      </c>
      <c r="AQ27">
        <v>414</v>
      </c>
      <c r="AR27" t="s">
        <v>72</v>
      </c>
      <c r="AS27" t="s">
        <v>69</v>
      </c>
      <c r="AT27" t="s">
        <v>71</v>
      </c>
      <c r="AU27" t="s">
        <v>69</v>
      </c>
      <c r="AV27">
        <v>131.17500000000001</v>
      </c>
      <c r="AW27" t="s">
        <v>69</v>
      </c>
      <c r="AX27" t="s">
        <v>69</v>
      </c>
      <c r="AY27">
        <v>448</v>
      </c>
      <c r="AZ27" t="s">
        <v>74</v>
      </c>
      <c r="BA27" t="s">
        <v>69</v>
      </c>
      <c r="BB27" t="s">
        <v>75</v>
      </c>
      <c r="BC27" t="s">
        <v>69</v>
      </c>
      <c r="BD27">
        <v>174.203</v>
      </c>
      <c r="BE27" t="s">
        <v>69</v>
      </c>
      <c r="BF27" t="s">
        <v>69</v>
      </c>
      <c r="BG27">
        <v>478</v>
      </c>
      <c r="BH27" t="s">
        <v>119</v>
      </c>
      <c r="BI27" t="s">
        <v>69</v>
      </c>
      <c r="BJ27" t="s">
        <v>120</v>
      </c>
      <c r="BK27" t="s">
        <v>69</v>
      </c>
      <c r="BL27">
        <v>147.131</v>
      </c>
      <c r="BM27" t="s">
        <v>69</v>
      </c>
      <c r="BN27" t="s">
        <v>69</v>
      </c>
      <c r="BO27">
        <v>485</v>
      </c>
      <c r="BP27" t="s">
        <v>147</v>
      </c>
      <c r="BQ27" t="s">
        <v>69</v>
      </c>
      <c r="BR27" t="s">
        <v>148</v>
      </c>
      <c r="BS27" t="s">
        <v>69</v>
      </c>
      <c r="BT27">
        <v>146.14599999999999</v>
      </c>
      <c r="BU27" t="s">
        <v>69</v>
      </c>
      <c r="BV27" t="s">
        <v>69</v>
      </c>
      <c r="BW27">
        <v>545</v>
      </c>
      <c r="BX27" t="s">
        <v>249</v>
      </c>
      <c r="BY27" t="s">
        <v>69</v>
      </c>
      <c r="BZ27" t="s">
        <v>117</v>
      </c>
      <c r="CA27" t="s">
        <v>69</v>
      </c>
      <c r="CB27">
        <v>121.154</v>
      </c>
      <c r="CC27" t="s">
        <v>69</v>
      </c>
      <c r="CD27" t="s">
        <v>69</v>
      </c>
      <c r="CE27">
        <v>546</v>
      </c>
      <c r="CF27" t="s">
        <v>156</v>
      </c>
      <c r="CG27" t="s">
        <v>69</v>
      </c>
      <c r="CH27" t="s">
        <v>120</v>
      </c>
      <c r="CI27" t="s">
        <v>69</v>
      </c>
      <c r="CJ27">
        <v>133.10400000000001</v>
      </c>
      <c r="CK27" t="s">
        <v>69</v>
      </c>
      <c r="CL27" t="s">
        <v>69</v>
      </c>
      <c r="CM27">
        <v>557</v>
      </c>
      <c r="CN27" t="s">
        <v>115</v>
      </c>
      <c r="CO27" t="s">
        <v>69</v>
      </c>
      <c r="CP27" t="s">
        <v>71</v>
      </c>
      <c r="CQ27" t="s">
        <v>69</v>
      </c>
      <c r="CR27">
        <v>117.148</v>
      </c>
      <c r="CS27" t="s">
        <v>69</v>
      </c>
      <c r="CT27" t="s">
        <v>69</v>
      </c>
      <c r="CU27">
        <v>581</v>
      </c>
      <c r="CV27" t="s">
        <v>119</v>
      </c>
      <c r="CW27" t="s">
        <v>69</v>
      </c>
      <c r="CX27" t="s">
        <v>120</v>
      </c>
      <c r="CY27" t="s">
        <v>69</v>
      </c>
      <c r="CZ27">
        <v>147.131</v>
      </c>
      <c r="DA27" t="s">
        <v>69</v>
      </c>
      <c r="DB27" t="s">
        <v>69</v>
      </c>
      <c r="DC27">
        <v>595</v>
      </c>
      <c r="DD27" t="s">
        <v>147</v>
      </c>
      <c r="DE27" t="s">
        <v>69</v>
      </c>
      <c r="DF27" t="s">
        <v>148</v>
      </c>
      <c r="DG27" t="s">
        <v>69</v>
      </c>
      <c r="DH27">
        <v>146.14599999999999</v>
      </c>
      <c r="DI27" t="s">
        <v>69</v>
      </c>
      <c r="DJ27" t="s">
        <v>69</v>
      </c>
    </row>
    <row r="28" spans="1:114" x14ac:dyDescent="0.25">
      <c r="A28">
        <v>7</v>
      </c>
      <c r="B28" t="str">
        <f>HYPERLINK("http://www.ncbi.nlm.nih.gov/protein/XP_006995824.1","XP_006995824.1")</f>
        <v>XP_006995824.1</v>
      </c>
      <c r="C28">
        <v>54287</v>
      </c>
      <c r="D28" t="str">
        <f>HYPERLINK("http://www.ncbi.nlm.nih.gov/Taxonomy/Browser/wwwtax.cgi?mode=Info&amp;id=230844&amp;lvl=3&amp;lin=f&amp;keep=1&amp;srchmode=1&amp;unlock","230844")</f>
        <v>230844</v>
      </c>
      <c r="E28" t="s">
        <v>66</v>
      </c>
      <c r="F28" t="str">
        <f>HYPERLINK("http://www.ncbi.nlm.nih.gov/Taxonomy/Browser/wwwtax.cgi?mode=Info&amp;id=230844&amp;lvl=3&amp;lin=f&amp;keep=1&amp;srchmode=1&amp;unlock","Peromyscus maniculatus bairdii")</f>
        <v>Peromyscus maniculatus bairdii</v>
      </c>
      <c r="G28" t="s">
        <v>88</v>
      </c>
      <c r="H28" t="str">
        <f>HYPERLINK("http://www.ncbi.nlm.nih.gov/protein/XP_006995824.1","mitochondrial import receptor subunit TOM70")</f>
        <v>mitochondrial import receptor subunit TOM70</v>
      </c>
      <c r="I28" t="s">
        <v>270</v>
      </c>
      <c r="J28" t="s">
        <v>69</v>
      </c>
      <c r="K28">
        <v>223</v>
      </c>
      <c r="L28" t="s">
        <v>151</v>
      </c>
      <c r="M28" t="s">
        <v>69</v>
      </c>
      <c r="N28" t="s">
        <v>152</v>
      </c>
      <c r="O28" t="s">
        <v>69</v>
      </c>
      <c r="P28">
        <v>165.19200000000001</v>
      </c>
      <c r="Q28" t="s">
        <v>69</v>
      </c>
      <c r="R28" t="s">
        <v>69</v>
      </c>
      <c r="S28">
        <v>229</v>
      </c>
      <c r="T28" t="s">
        <v>116</v>
      </c>
      <c r="U28" t="s">
        <v>69</v>
      </c>
      <c r="V28" t="s">
        <v>117</v>
      </c>
      <c r="W28" t="s">
        <v>69</v>
      </c>
      <c r="X28">
        <v>149.208</v>
      </c>
      <c r="Y28" t="s">
        <v>69</v>
      </c>
      <c r="Z28" t="s">
        <v>69</v>
      </c>
      <c r="AA28">
        <v>383</v>
      </c>
      <c r="AB28" t="s">
        <v>147</v>
      </c>
      <c r="AC28" t="s">
        <v>69</v>
      </c>
      <c r="AD28" t="s">
        <v>148</v>
      </c>
      <c r="AE28" t="s">
        <v>69</v>
      </c>
      <c r="AF28">
        <v>146.14599999999999</v>
      </c>
      <c r="AG28" t="s">
        <v>69</v>
      </c>
      <c r="AH28" t="s">
        <v>69</v>
      </c>
      <c r="AI28">
        <v>385</v>
      </c>
      <c r="AJ28" t="s">
        <v>147</v>
      </c>
      <c r="AK28" t="s">
        <v>69</v>
      </c>
      <c r="AL28" t="s">
        <v>148</v>
      </c>
      <c r="AM28" t="s">
        <v>69</v>
      </c>
      <c r="AN28">
        <v>146.14599999999999</v>
      </c>
      <c r="AO28" t="s">
        <v>69</v>
      </c>
      <c r="AP28" t="s">
        <v>69</v>
      </c>
      <c r="AQ28">
        <v>417</v>
      </c>
      <c r="AR28" t="s">
        <v>72</v>
      </c>
      <c r="AS28" t="s">
        <v>69</v>
      </c>
      <c r="AT28" t="s">
        <v>71</v>
      </c>
      <c r="AU28" t="s">
        <v>69</v>
      </c>
      <c r="AV28">
        <v>131.17500000000001</v>
      </c>
      <c r="AW28" t="s">
        <v>69</v>
      </c>
      <c r="AX28" t="s">
        <v>69</v>
      </c>
      <c r="AY28">
        <v>451</v>
      </c>
      <c r="AZ28" t="s">
        <v>74</v>
      </c>
      <c r="BA28" t="s">
        <v>69</v>
      </c>
      <c r="BB28" t="s">
        <v>75</v>
      </c>
      <c r="BC28" t="s">
        <v>69</v>
      </c>
      <c r="BD28">
        <v>174.203</v>
      </c>
      <c r="BE28" t="s">
        <v>69</v>
      </c>
      <c r="BF28" t="s">
        <v>69</v>
      </c>
      <c r="BG28">
        <v>481</v>
      </c>
      <c r="BH28" t="s">
        <v>119</v>
      </c>
      <c r="BI28" t="s">
        <v>69</v>
      </c>
      <c r="BJ28" t="s">
        <v>120</v>
      </c>
      <c r="BK28" t="s">
        <v>69</v>
      </c>
      <c r="BL28">
        <v>147.131</v>
      </c>
      <c r="BM28" t="s">
        <v>69</v>
      </c>
      <c r="BN28" t="s">
        <v>69</v>
      </c>
      <c r="BO28">
        <v>488</v>
      </c>
      <c r="BP28" t="s">
        <v>147</v>
      </c>
      <c r="BQ28" t="s">
        <v>69</v>
      </c>
      <c r="BR28" t="s">
        <v>148</v>
      </c>
      <c r="BS28" t="s">
        <v>69</v>
      </c>
      <c r="BT28">
        <v>146.14599999999999</v>
      </c>
      <c r="BU28" t="s">
        <v>69</v>
      </c>
      <c r="BV28" t="s">
        <v>69</v>
      </c>
      <c r="BW28">
        <v>548</v>
      </c>
      <c r="BX28" t="s">
        <v>249</v>
      </c>
      <c r="BY28" t="s">
        <v>69</v>
      </c>
      <c r="BZ28" t="s">
        <v>117</v>
      </c>
      <c r="CA28" t="s">
        <v>69</v>
      </c>
      <c r="CB28">
        <v>121.154</v>
      </c>
      <c r="CC28" t="s">
        <v>69</v>
      </c>
      <c r="CD28" t="s">
        <v>69</v>
      </c>
      <c r="CE28">
        <v>549</v>
      </c>
      <c r="CF28" t="s">
        <v>156</v>
      </c>
      <c r="CG28" t="s">
        <v>69</v>
      </c>
      <c r="CH28" t="s">
        <v>120</v>
      </c>
      <c r="CI28" t="s">
        <v>69</v>
      </c>
      <c r="CJ28">
        <v>133.10400000000001</v>
      </c>
      <c r="CK28" t="s">
        <v>69</v>
      </c>
      <c r="CL28" t="s">
        <v>69</v>
      </c>
      <c r="CM28">
        <v>560</v>
      </c>
      <c r="CN28" t="s">
        <v>115</v>
      </c>
      <c r="CO28" t="s">
        <v>69</v>
      </c>
      <c r="CP28" t="s">
        <v>71</v>
      </c>
      <c r="CQ28" t="s">
        <v>69</v>
      </c>
      <c r="CR28">
        <v>117.148</v>
      </c>
      <c r="CS28" t="s">
        <v>69</v>
      </c>
      <c r="CT28" t="s">
        <v>69</v>
      </c>
      <c r="CU28">
        <v>584</v>
      </c>
      <c r="CV28" t="s">
        <v>119</v>
      </c>
      <c r="CW28" t="s">
        <v>69</v>
      </c>
      <c r="CX28" t="s">
        <v>120</v>
      </c>
      <c r="CY28" t="s">
        <v>69</v>
      </c>
      <c r="CZ28">
        <v>147.131</v>
      </c>
      <c r="DA28" t="s">
        <v>69</v>
      </c>
      <c r="DB28" t="s">
        <v>69</v>
      </c>
      <c r="DC28">
        <v>598</v>
      </c>
      <c r="DD28" t="s">
        <v>147</v>
      </c>
      <c r="DE28" t="s">
        <v>69</v>
      </c>
      <c r="DF28" t="s">
        <v>148</v>
      </c>
      <c r="DG28" t="s">
        <v>69</v>
      </c>
      <c r="DH28">
        <v>146.14599999999999</v>
      </c>
      <c r="DI28" t="s">
        <v>69</v>
      </c>
      <c r="DJ28" t="s">
        <v>69</v>
      </c>
    </row>
    <row r="29" spans="1:114" x14ac:dyDescent="0.25">
      <c r="A29">
        <v>7</v>
      </c>
      <c r="B29" t="str">
        <f>HYPERLINK("http://www.ncbi.nlm.nih.gov/protein/NP_997684.1","NP_997684.1")</f>
        <v>NP_997684.1</v>
      </c>
      <c r="C29">
        <v>158159</v>
      </c>
      <c r="D29" t="str">
        <f>HYPERLINK("http://www.ncbi.nlm.nih.gov/Taxonomy/Browser/wwwtax.cgi?mode=Info&amp;id=10116&amp;lvl=3&amp;lin=f&amp;keep=1&amp;srchmode=1&amp;unlock","10116")</f>
        <v>10116</v>
      </c>
      <c r="E29" t="s">
        <v>66</v>
      </c>
      <c r="F29" t="str">
        <f>HYPERLINK("http://www.ncbi.nlm.nih.gov/Taxonomy/Browser/wwwtax.cgi?mode=Info&amp;id=10116&amp;lvl=3&amp;lin=f&amp;keep=1&amp;srchmode=1&amp;unlock","Rattus norvegicus")</f>
        <v>Rattus norvegicus</v>
      </c>
      <c r="G29" t="s">
        <v>102</v>
      </c>
      <c r="H29" t="str">
        <f>HYPERLINK("http://www.ncbi.nlm.nih.gov/protein/NP_997684.1","mitochondrial import receptor subunit TOM70")</f>
        <v>mitochondrial import receptor subunit TOM70</v>
      </c>
      <c r="I29" t="s">
        <v>270</v>
      </c>
      <c r="J29" t="s">
        <v>69</v>
      </c>
      <c r="K29">
        <v>221</v>
      </c>
      <c r="L29" t="s">
        <v>151</v>
      </c>
      <c r="M29" t="s">
        <v>69</v>
      </c>
      <c r="N29" t="s">
        <v>152</v>
      </c>
      <c r="O29" t="s">
        <v>69</v>
      </c>
      <c r="P29">
        <v>165.19200000000001</v>
      </c>
      <c r="Q29" t="s">
        <v>69</v>
      </c>
      <c r="R29" t="s">
        <v>69</v>
      </c>
      <c r="S29">
        <v>227</v>
      </c>
      <c r="T29" t="s">
        <v>116</v>
      </c>
      <c r="U29" t="s">
        <v>69</v>
      </c>
      <c r="V29" t="s">
        <v>117</v>
      </c>
      <c r="W29" t="s">
        <v>69</v>
      </c>
      <c r="X29">
        <v>149.208</v>
      </c>
      <c r="Y29" t="s">
        <v>69</v>
      </c>
      <c r="Z29" t="s">
        <v>69</v>
      </c>
      <c r="AA29">
        <v>381</v>
      </c>
      <c r="AB29" t="s">
        <v>147</v>
      </c>
      <c r="AC29" t="s">
        <v>69</v>
      </c>
      <c r="AD29" t="s">
        <v>148</v>
      </c>
      <c r="AE29" t="s">
        <v>69</v>
      </c>
      <c r="AF29">
        <v>146.14599999999999</v>
      </c>
      <c r="AG29" t="s">
        <v>69</v>
      </c>
      <c r="AH29" t="s">
        <v>69</v>
      </c>
      <c r="AI29">
        <v>383</v>
      </c>
      <c r="AJ29" t="s">
        <v>147</v>
      </c>
      <c r="AK29" t="s">
        <v>69</v>
      </c>
      <c r="AL29" t="s">
        <v>148</v>
      </c>
      <c r="AM29" t="s">
        <v>69</v>
      </c>
      <c r="AN29">
        <v>146.14599999999999</v>
      </c>
      <c r="AO29" t="s">
        <v>69</v>
      </c>
      <c r="AP29" t="s">
        <v>69</v>
      </c>
      <c r="AQ29">
        <v>415</v>
      </c>
      <c r="AR29" t="s">
        <v>72</v>
      </c>
      <c r="AS29" t="s">
        <v>69</v>
      </c>
      <c r="AT29" t="s">
        <v>71</v>
      </c>
      <c r="AU29" t="s">
        <v>69</v>
      </c>
      <c r="AV29">
        <v>131.17500000000001</v>
      </c>
      <c r="AW29" t="s">
        <v>69</v>
      </c>
      <c r="AX29" t="s">
        <v>69</v>
      </c>
      <c r="AY29">
        <v>449</v>
      </c>
      <c r="AZ29" t="s">
        <v>74</v>
      </c>
      <c r="BA29" t="s">
        <v>69</v>
      </c>
      <c r="BB29" t="s">
        <v>75</v>
      </c>
      <c r="BC29" t="s">
        <v>69</v>
      </c>
      <c r="BD29">
        <v>174.203</v>
      </c>
      <c r="BE29" t="s">
        <v>69</v>
      </c>
      <c r="BF29" t="s">
        <v>69</v>
      </c>
      <c r="BG29">
        <v>479</v>
      </c>
      <c r="BH29" t="s">
        <v>119</v>
      </c>
      <c r="BI29" t="s">
        <v>69</v>
      </c>
      <c r="BJ29" t="s">
        <v>120</v>
      </c>
      <c r="BK29" t="s">
        <v>69</v>
      </c>
      <c r="BL29">
        <v>147.131</v>
      </c>
      <c r="BM29" t="s">
        <v>69</v>
      </c>
      <c r="BN29" t="s">
        <v>69</v>
      </c>
      <c r="BO29">
        <v>486</v>
      </c>
      <c r="BP29" t="s">
        <v>147</v>
      </c>
      <c r="BQ29" t="s">
        <v>69</v>
      </c>
      <c r="BR29" t="s">
        <v>148</v>
      </c>
      <c r="BS29" t="s">
        <v>69</v>
      </c>
      <c r="BT29">
        <v>146.14599999999999</v>
      </c>
      <c r="BU29" t="s">
        <v>69</v>
      </c>
      <c r="BV29" t="s">
        <v>69</v>
      </c>
      <c r="BW29">
        <v>546</v>
      </c>
      <c r="BX29" t="s">
        <v>249</v>
      </c>
      <c r="BY29" t="s">
        <v>69</v>
      </c>
      <c r="BZ29" t="s">
        <v>117</v>
      </c>
      <c r="CA29" t="s">
        <v>69</v>
      </c>
      <c r="CB29">
        <v>121.154</v>
      </c>
      <c r="CC29" t="s">
        <v>69</v>
      </c>
      <c r="CD29" t="s">
        <v>69</v>
      </c>
      <c r="CE29">
        <v>547</v>
      </c>
      <c r="CF29" t="s">
        <v>156</v>
      </c>
      <c r="CG29" t="s">
        <v>69</v>
      </c>
      <c r="CH29" t="s">
        <v>120</v>
      </c>
      <c r="CI29" t="s">
        <v>69</v>
      </c>
      <c r="CJ29">
        <v>133.10400000000001</v>
      </c>
      <c r="CK29" t="s">
        <v>69</v>
      </c>
      <c r="CL29" t="s">
        <v>69</v>
      </c>
      <c r="CM29">
        <v>558</v>
      </c>
      <c r="CN29" t="s">
        <v>115</v>
      </c>
      <c r="CO29" t="s">
        <v>69</v>
      </c>
      <c r="CP29" t="s">
        <v>71</v>
      </c>
      <c r="CQ29" t="s">
        <v>69</v>
      </c>
      <c r="CR29">
        <v>117.148</v>
      </c>
      <c r="CS29" t="s">
        <v>69</v>
      </c>
      <c r="CT29" t="s">
        <v>69</v>
      </c>
      <c r="CU29">
        <v>582</v>
      </c>
      <c r="CV29" t="s">
        <v>119</v>
      </c>
      <c r="CW29" t="s">
        <v>69</v>
      </c>
      <c r="CX29" t="s">
        <v>120</v>
      </c>
      <c r="CY29" t="s">
        <v>69</v>
      </c>
      <c r="CZ29">
        <v>147.131</v>
      </c>
      <c r="DA29" t="s">
        <v>69</v>
      </c>
      <c r="DB29" t="s">
        <v>69</v>
      </c>
      <c r="DC29">
        <v>596</v>
      </c>
      <c r="DD29" t="s">
        <v>147</v>
      </c>
      <c r="DE29" t="s">
        <v>69</v>
      </c>
      <c r="DF29" t="s">
        <v>148</v>
      </c>
      <c r="DG29" t="s">
        <v>69</v>
      </c>
      <c r="DH29">
        <v>146.14599999999999</v>
      </c>
      <c r="DI29" t="s">
        <v>69</v>
      </c>
      <c r="DJ29" t="s">
        <v>69</v>
      </c>
    </row>
    <row r="30" spans="1:114" x14ac:dyDescent="0.25">
      <c r="A30">
        <v>7</v>
      </c>
      <c r="B30" t="str">
        <f>HYPERLINK("http://www.ncbi.nlm.nih.gov/protein/XP_040606573.1","XP_040606573.1")</f>
        <v>XP_040606573.1</v>
      </c>
      <c r="C30">
        <v>54410</v>
      </c>
      <c r="D30" t="str">
        <f>HYPERLINK("http://www.ncbi.nlm.nih.gov/Taxonomy/Browser/wwwtax.cgi?mode=Info&amp;id=10036&amp;lvl=3&amp;lin=f&amp;keep=1&amp;srchmode=1&amp;unlock","10036")</f>
        <v>10036</v>
      </c>
      <c r="E30" t="s">
        <v>66</v>
      </c>
      <c r="F30" t="str">
        <f>HYPERLINK("http://www.ncbi.nlm.nih.gov/Taxonomy/Browser/wwwtax.cgi?mode=Info&amp;id=10036&amp;lvl=3&amp;lin=f&amp;keep=1&amp;srchmode=1&amp;unlock","Mesocricetus auratus")</f>
        <v>Mesocricetus auratus</v>
      </c>
      <c r="G30" t="s">
        <v>87</v>
      </c>
      <c r="H30" t="str">
        <f>HYPERLINK("http://www.ncbi.nlm.nih.gov/protein/XP_040606573.1","mitochondrial import receptor subunit TOM70")</f>
        <v>mitochondrial import receptor subunit TOM70</v>
      </c>
      <c r="I30" t="s">
        <v>270</v>
      </c>
      <c r="J30" t="s">
        <v>69</v>
      </c>
      <c r="K30">
        <v>222</v>
      </c>
      <c r="L30" t="s">
        <v>151</v>
      </c>
      <c r="M30" t="s">
        <v>69</v>
      </c>
      <c r="N30" t="s">
        <v>152</v>
      </c>
      <c r="O30" t="s">
        <v>69</v>
      </c>
      <c r="P30">
        <v>165.19200000000001</v>
      </c>
      <c r="Q30" t="s">
        <v>69</v>
      </c>
      <c r="R30" t="s">
        <v>69</v>
      </c>
      <c r="S30">
        <v>228</v>
      </c>
      <c r="T30" t="s">
        <v>116</v>
      </c>
      <c r="U30" t="s">
        <v>69</v>
      </c>
      <c r="V30" t="s">
        <v>117</v>
      </c>
      <c r="W30" t="s">
        <v>69</v>
      </c>
      <c r="X30">
        <v>149.208</v>
      </c>
      <c r="Y30" t="s">
        <v>69</v>
      </c>
      <c r="Z30" t="s">
        <v>69</v>
      </c>
      <c r="AA30">
        <v>382</v>
      </c>
      <c r="AB30" t="s">
        <v>147</v>
      </c>
      <c r="AC30" t="s">
        <v>69</v>
      </c>
      <c r="AD30" t="s">
        <v>148</v>
      </c>
      <c r="AE30" t="s">
        <v>69</v>
      </c>
      <c r="AF30">
        <v>146.14599999999999</v>
      </c>
      <c r="AG30" t="s">
        <v>69</v>
      </c>
      <c r="AH30" t="s">
        <v>69</v>
      </c>
      <c r="AI30">
        <v>384</v>
      </c>
      <c r="AJ30" t="s">
        <v>147</v>
      </c>
      <c r="AK30" t="s">
        <v>69</v>
      </c>
      <c r="AL30" t="s">
        <v>148</v>
      </c>
      <c r="AM30" t="s">
        <v>69</v>
      </c>
      <c r="AN30">
        <v>146.14599999999999</v>
      </c>
      <c r="AO30" t="s">
        <v>69</v>
      </c>
      <c r="AP30" t="s">
        <v>69</v>
      </c>
      <c r="AQ30">
        <v>416</v>
      </c>
      <c r="AR30" t="s">
        <v>72</v>
      </c>
      <c r="AS30" t="s">
        <v>69</v>
      </c>
      <c r="AT30" t="s">
        <v>71</v>
      </c>
      <c r="AU30" t="s">
        <v>69</v>
      </c>
      <c r="AV30">
        <v>131.17500000000001</v>
      </c>
      <c r="AW30" t="s">
        <v>69</v>
      </c>
      <c r="AX30" t="s">
        <v>69</v>
      </c>
      <c r="AY30">
        <v>450</v>
      </c>
      <c r="AZ30" t="s">
        <v>74</v>
      </c>
      <c r="BA30" t="s">
        <v>69</v>
      </c>
      <c r="BB30" t="s">
        <v>75</v>
      </c>
      <c r="BC30" t="s">
        <v>69</v>
      </c>
      <c r="BD30">
        <v>174.203</v>
      </c>
      <c r="BE30" t="s">
        <v>69</v>
      </c>
      <c r="BF30" t="s">
        <v>69</v>
      </c>
      <c r="BG30">
        <v>480</v>
      </c>
      <c r="BH30" t="s">
        <v>119</v>
      </c>
      <c r="BI30" t="s">
        <v>69</v>
      </c>
      <c r="BJ30" t="s">
        <v>120</v>
      </c>
      <c r="BK30" t="s">
        <v>69</v>
      </c>
      <c r="BL30">
        <v>147.131</v>
      </c>
      <c r="BM30" t="s">
        <v>69</v>
      </c>
      <c r="BN30" t="s">
        <v>69</v>
      </c>
      <c r="BO30">
        <v>487</v>
      </c>
      <c r="BP30" t="s">
        <v>147</v>
      </c>
      <c r="BQ30" t="s">
        <v>69</v>
      </c>
      <c r="BR30" t="s">
        <v>148</v>
      </c>
      <c r="BS30" t="s">
        <v>69</v>
      </c>
      <c r="BT30">
        <v>146.14599999999999</v>
      </c>
      <c r="BU30" t="s">
        <v>69</v>
      </c>
      <c r="BV30" t="s">
        <v>69</v>
      </c>
      <c r="BW30">
        <v>547</v>
      </c>
      <c r="BX30" t="s">
        <v>249</v>
      </c>
      <c r="BY30" t="s">
        <v>69</v>
      </c>
      <c r="BZ30" t="s">
        <v>117</v>
      </c>
      <c r="CA30" t="s">
        <v>69</v>
      </c>
      <c r="CB30">
        <v>121.154</v>
      </c>
      <c r="CC30" t="s">
        <v>69</v>
      </c>
      <c r="CD30" t="s">
        <v>69</v>
      </c>
      <c r="CE30">
        <v>548</v>
      </c>
      <c r="CF30" t="s">
        <v>156</v>
      </c>
      <c r="CG30" t="s">
        <v>69</v>
      </c>
      <c r="CH30" t="s">
        <v>120</v>
      </c>
      <c r="CI30" t="s">
        <v>69</v>
      </c>
      <c r="CJ30">
        <v>133.10400000000001</v>
      </c>
      <c r="CK30" t="s">
        <v>69</v>
      </c>
      <c r="CL30" t="s">
        <v>69</v>
      </c>
      <c r="CM30">
        <v>559</v>
      </c>
      <c r="CN30" t="s">
        <v>115</v>
      </c>
      <c r="CO30" t="s">
        <v>69</v>
      </c>
      <c r="CP30" t="s">
        <v>71</v>
      </c>
      <c r="CQ30" t="s">
        <v>69</v>
      </c>
      <c r="CR30">
        <v>117.148</v>
      </c>
      <c r="CS30" t="s">
        <v>69</v>
      </c>
      <c r="CT30" t="s">
        <v>69</v>
      </c>
      <c r="CU30">
        <v>583</v>
      </c>
      <c r="CV30" t="s">
        <v>119</v>
      </c>
      <c r="CW30" t="s">
        <v>69</v>
      </c>
      <c r="CX30" t="s">
        <v>120</v>
      </c>
      <c r="CY30" t="s">
        <v>69</v>
      </c>
      <c r="CZ30">
        <v>147.131</v>
      </c>
      <c r="DA30" t="s">
        <v>69</v>
      </c>
      <c r="DB30" t="s">
        <v>69</v>
      </c>
      <c r="DC30">
        <v>597</v>
      </c>
      <c r="DD30" t="s">
        <v>147</v>
      </c>
      <c r="DE30" t="s">
        <v>69</v>
      </c>
      <c r="DF30" t="s">
        <v>148</v>
      </c>
      <c r="DG30" t="s">
        <v>69</v>
      </c>
      <c r="DH30">
        <v>146.14599999999999</v>
      </c>
      <c r="DI30" t="s">
        <v>69</v>
      </c>
      <c r="DJ30" t="s">
        <v>69</v>
      </c>
    </row>
    <row r="31" spans="1:114" x14ac:dyDescent="0.25">
      <c r="A31">
        <v>7</v>
      </c>
      <c r="B31" t="str">
        <f>HYPERLINK("http://www.ncbi.nlm.nih.gov/protein/NP_001083124.1","NP_001083124.1")</f>
        <v>NP_001083124.1</v>
      </c>
      <c r="C31">
        <v>146185</v>
      </c>
      <c r="D31" t="str">
        <f>HYPERLINK("http://www.ncbi.nlm.nih.gov/Taxonomy/Browser/wwwtax.cgi?mode=Info&amp;id=8355&amp;lvl=3&amp;lin=f&amp;keep=1&amp;srchmode=1&amp;unlock","8355")</f>
        <v>8355</v>
      </c>
      <c r="E31" t="s">
        <v>111</v>
      </c>
      <c r="F31" t="str">
        <f>HYPERLINK("http://www.ncbi.nlm.nih.gov/Taxonomy/Browser/wwwtax.cgi?mode=Info&amp;id=8355&amp;lvl=3&amp;lin=f&amp;keep=1&amp;srchmode=1&amp;unlock","Xenopus laevis")</f>
        <v>Xenopus laevis</v>
      </c>
      <c r="G31" t="s">
        <v>112</v>
      </c>
      <c r="H31" t="str">
        <f>HYPERLINK("http://www.ncbi.nlm.nih.gov/protein/NP_001083124.1","to translocase of outer mitochondrial membrane 70 S homeolog")</f>
        <v>to translocase of outer mitochondrial membrane 70 S homeolog</v>
      </c>
      <c r="I31" t="s">
        <v>270</v>
      </c>
      <c r="J31" t="s">
        <v>69</v>
      </c>
      <c r="K31">
        <v>187</v>
      </c>
      <c r="L31" t="s">
        <v>151</v>
      </c>
      <c r="M31" t="s">
        <v>69</v>
      </c>
      <c r="N31" t="s">
        <v>152</v>
      </c>
      <c r="O31" t="s">
        <v>69</v>
      </c>
      <c r="P31">
        <v>165.19200000000001</v>
      </c>
      <c r="Q31" t="s">
        <v>69</v>
      </c>
      <c r="R31" t="s">
        <v>69</v>
      </c>
      <c r="S31">
        <v>193</v>
      </c>
      <c r="T31" t="s">
        <v>116</v>
      </c>
      <c r="U31" t="s">
        <v>69</v>
      </c>
      <c r="V31" t="s">
        <v>117</v>
      </c>
      <c r="W31" t="s">
        <v>69</v>
      </c>
      <c r="X31">
        <v>149.208</v>
      </c>
      <c r="Y31" t="s">
        <v>69</v>
      </c>
      <c r="Z31" t="s">
        <v>69</v>
      </c>
      <c r="AA31">
        <v>347</v>
      </c>
      <c r="AB31" t="s">
        <v>147</v>
      </c>
      <c r="AC31" t="s">
        <v>69</v>
      </c>
      <c r="AD31" t="s">
        <v>148</v>
      </c>
      <c r="AE31" t="s">
        <v>69</v>
      </c>
      <c r="AF31">
        <v>146.14599999999999</v>
      </c>
      <c r="AG31" t="s">
        <v>69</v>
      </c>
      <c r="AH31" t="s">
        <v>69</v>
      </c>
      <c r="AI31">
        <v>349</v>
      </c>
      <c r="AJ31" t="s">
        <v>147</v>
      </c>
      <c r="AK31" t="s">
        <v>69</v>
      </c>
      <c r="AL31" t="s">
        <v>148</v>
      </c>
      <c r="AM31" t="s">
        <v>69</v>
      </c>
      <c r="AN31">
        <v>146.14599999999999</v>
      </c>
      <c r="AO31" t="s">
        <v>69</v>
      </c>
      <c r="AP31" t="s">
        <v>69</v>
      </c>
      <c r="AQ31">
        <v>381</v>
      </c>
      <c r="AR31" t="s">
        <v>72</v>
      </c>
      <c r="AS31" t="s">
        <v>69</v>
      </c>
      <c r="AT31" t="s">
        <v>71</v>
      </c>
      <c r="AU31" t="s">
        <v>69</v>
      </c>
      <c r="AV31">
        <v>131.17500000000001</v>
      </c>
      <c r="AW31" t="s">
        <v>69</v>
      </c>
      <c r="AX31" t="s">
        <v>69</v>
      </c>
      <c r="AY31">
        <v>415</v>
      </c>
      <c r="AZ31" t="s">
        <v>74</v>
      </c>
      <c r="BA31" t="s">
        <v>69</v>
      </c>
      <c r="BB31" t="s">
        <v>75</v>
      </c>
      <c r="BC31" t="s">
        <v>69</v>
      </c>
      <c r="BD31">
        <v>174.203</v>
      </c>
      <c r="BE31" t="s">
        <v>69</v>
      </c>
      <c r="BF31" t="s">
        <v>69</v>
      </c>
      <c r="BG31">
        <v>445</v>
      </c>
      <c r="BH31" t="s">
        <v>119</v>
      </c>
      <c r="BI31" t="s">
        <v>69</v>
      </c>
      <c r="BJ31" t="s">
        <v>120</v>
      </c>
      <c r="BK31" t="s">
        <v>69</v>
      </c>
      <c r="BL31">
        <v>147.131</v>
      </c>
      <c r="BM31" t="s">
        <v>69</v>
      </c>
      <c r="BN31" t="s">
        <v>69</v>
      </c>
      <c r="BO31">
        <v>452</v>
      </c>
      <c r="BP31" t="s">
        <v>147</v>
      </c>
      <c r="BQ31" t="s">
        <v>69</v>
      </c>
      <c r="BR31" t="s">
        <v>148</v>
      </c>
      <c r="BS31" t="s">
        <v>69</v>
      </c>
      <c r="BT31">
        <v>146.14599999999999</v>
      </c>
      <c r="BU31" t="s">
        <v>69</v>
      </c>
      <c r="BV31" t="s">
        <v>69</v>
      </c>
      <c r="BW31">
        <v>512</v>
      </c>
      <c r="BX31" t="s">
        <v>249</v>
      </c>
      <c r="BY31" t="s">
        <v>69</v>
      </c>
      <c r="BZ31" t="s">
        <v>117</v>
      </c>
      <c r="CA31" t="s">
        <v>69</v>
      </c>
      <c r="CB31">
        <v>121.154</v>
      </c>
      <c r="CC31" t="s">
        <v>69</v>
      </c>
      <c r="CD31" t="s">
        <v>69</v>
      </c>
      <c r="CE31">
        <v>513</v>
      </c>
      <c r="CF31" t="s">
        <v>156</v>
      </c>
      <c r="CG31" t="s">
        <v>69</v>
      </c>
      <c r="CH31" t="s">
        <v>120</v>
      </c>
      <c r="CI31" t="s">
        <v>69</v>
      </c>
      <c r="CJ31">
        <v>133.10400000000001</v>
      </c>
      <c r="CK31" t="s">
        <v>69</v>
      </c>
      <c r="CL31" t="s">
        <v>69</v>
      </c>
      <c r="CM31">
        <v>524</v>
      </c>
      <c r="CN31" t="s">
        <v>115</v>
      </c>
      <c r="CO31" t="s">
        <v>69</v>
      </c>
      <c r="CP31" t="s">
        <v>71</v>
      </c>
      <c r="CQ31" t="s">
        <v>69</v>
      </c>
      <c r="CR31">
        <v>117.148</v>
      </c>
      <c r="CS31" t="s">
        <v>69</v>
      </c>
      <c r="CT31" t="s">
        <v>69</v>
      </c>
      <c r="CU31">
        <v>548</v>
      </c>
      <c r="CV31" t="s">
        <v>119</v>
      </c>
      <c r="CW31" t="s">
        <v>69</v>
      </c>
      <c r="CX31" t="s">
        <v>120</v>
      </c>
      <c r="CY31" t="s">
        <v>69</v>
      </c>
      <c r="CZ31">
        <v>147.131</v>
      </c>
      <c r="DA31" t="s">
        <v>69</v>
      </c>
      <c r="DB31" t="s">
        <v>69</v>
      </c>
      <c r="DC31">
        <v>562</v>
      </c>
      <c r="DD31" t="s">
        <v>147</v>
      </c>
      <c r="DE31" t="s">
        <v>69</v>
      </c>
      <c r="DF31" t="s">
        <v>148</v>
      </c>
      <c r="DG31" t="s">
        <v>69</v>
      </c>
      <c r="DH31">
        <v>146.14599999999999</v>
      </c>
      <c r="DI31" t="s">
        <v>69</v>
      </c>
      <c r="DJ31" t="s">
        <v>69</v>
      </c>
    </row>
    <row r="32" spans="1:114" x14ac:dyDescent="0.25">
      <c r="A32">
        <v>7</v>
      </c>
      <c r="B32" t="str">
        <f>HYPERLINK("http://www.ncbi.nlm.nih.gov/protein/XP_025050777.1","XP_025050777.1")</f>
        <v>XP_025050777.1</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HYPERLINK("http://www.ncbi.nlm.nih.gov/protein/XP_025050777.1","mitochondrial import receptor subunit TOM70")</f>
        <v>mitochondrial import receptor subunit TOM70</v>
      </c>
      <c r="I32" t="s">
        <v>270</v>
      </c>
      <c r="J32" t="s">
        <v>69</v>
      </c>
      <c r="K32">
        <v>112</v>
      </c>
      <c r="L32" t="s">
        <v>151</v>
      </c>
      <c r="M32" t="s">
        <v>69</v>
      </c>
      <c r="N32" t="s">
        <v>152</v>
      </c>
      <c r="O32" t="s">
        <v>69</v>
      </c>
      <c r="P32">
        <v>165.19200000000001</v>
      </c>
      <c r="Q32" t="s">
        <v>69</v>
      </c>
      <c r="R32" t="s">
        <v>69</v>
      </c>
      <c r="S32">
        <v>118</v>
      </c>
      <c r="T32" t="s">
        <v>116</v>
      </c>
      <c r="U32" t="s">
        <v>69</v>
      </c>
      <c r="V32" t="s">
        <v>117</v>
      </c>
      <c r="W32" t="s">
        <v>69</v>
      </c>
      <c r="X32">
        <v>149.208</v>
      </c>
      <c r="Y32" t="s">
        <v>69</v>
      </c>
      <c r="Z32" t="s">
        <v>69</v>
      </c>
      <c r="AA32">
        <v>272</v>
      </c>
      <c r="AB32" t="s">
        <v>147</v>
      </c>
      <c r="AC32" t="s">
        <v>69</v>
      </c>
      <c r="AD32" t="s">
        <v>148</v>
      </c>
      <c r="AE32" t="s">
        <v>69</v>
      </c>
      <c r="AF32">
        <v>146.14599999999999</v>
      </c>
      <c r="AG32" t="s">
        <v>69</v>
      </c>
      <c r="AH32" t="s">
        <v>69</v>
      </c>
      <c r="AI32">
        <v>274</v>
      </c>
      <c r="AJ32" t="s">
        <v>147</v>
      </c>
      <c r="AK32" t="s">
        <v>69</v>
      </c>
      <c r="AL32" t="s">
        <v>148</v>
      </c>
      <c r="AM32" t="s">
        <v>69</v>
      </c>
      <c r="AN32">
        <v>146.14599999999999</v>
      </c>
      <c r="AO32" t="s">
        <v>69</v>
      </c>
      <c r="AP32" t="s">
        <v>69</v>
      </c>
      <c r="AQ32">
        <v>306</v>
      </c>
      <c r="AR32" t="s">
        <v>72</v>
      </c>
      <c r="AS32" t="s">
        <v>69</v>
      </c>
      <c r="AT32" t="s">
        <v>71</v>
      </c>
      <c r="AU32" t="s">
        <v>69</v>
      </c>
      <c r="AV32">
        <v>131.17500000000001</v>
      </c>
      <c r="AW32" t="s">
        <v>69</v>
      </c>
      <c r="AX32" t="s">
        <v>69</v>
      </c>
      <c r="AY32">
        <v>340</v>
      </c>
      <c r="AZ32" t="s">
        <v>74</v>
      </c>
      <c r="BA32" t="s">
        <v>69</v>
      </c>
      <c r="BB32" t="s">
        <v>75</v>
      </c>
      <c r="BC32" t="s">
        <v>69</v>
      </c>
      <c r="BD32">
        <v>174.203</v>
      </c>
      <c r="BE32" t="s">
        <v>69</v>
      </c>
      <c r="BF32" t="s">
        <v>69</v>
      </c>
      <c r="BG32">
        <v>370</v>
      </c>
      <c r="BH32" t="s">
        <v>119</v>
      </c>
      <c r="BI32" t="s">
        <v>69</v>
      </c>
      <c r="BJ32" t="s">
        <v>120</v>
      </c>
      <c r="BK32" t="s">
        <v>69</v>
      </c>
      <c r="BL32">
        <v>147.131</v>
      </c>
      <c r="BM32" t="s">
        <v>69</v>
      </c>
      <c r="BN32" t="s">
        <v>69</v>
      </c>
      <c r="BO32">
        <v>377</v>
      </c>
      <c r="BP32" t="s">
        <v>147</v>
      </c>
      <c r="BQ32" t="s">
        <v>69</v>
      </c>
      <c r="BR32" t="s">
        <v>148</v>
      </c>
      <c r="BS32" t="s">
        <v>69</v>
      </c>
      <c r="BT32">
        <v>146.14599999999999</v>
      </c>
      <c r="BU32" t="s">
        <v>69</v>
      </c>
      <c r="BV32" t="s">
        <v>69</v>
      </c>
      <c r="BW32">
        <v>437</v>
      </c>
      <c r="BX32" t="s">
        <v>249</v>
      </c>
      <c r="BY32" t="s">
        <v>69</v>
      </c>
      <c r="BZ32" t="s">
        <v>117</v>
      </c>
      <c r="CA32" t="s">
        <v>69</v>
      </c>
      <c r="CB32">
        <v>121.154</v>
      </c>
      <c r="CC32" t="s">
        <v>69</v>
      </c>
      <c r="CD32" t="s">
        <v>69</v>
      </c>
      <c r="CE32">
        <v>438</v>
      </c>
      <c r="CF32" t="s">
        <v>156</v>
      </c>
      <c r="CG32" t="s">
        <v>69</v>
      </c>
      <c r="CH32" t="s">
        <v>120</v>
      </c>
      <c r="CI32" t="s">
        <v>69</v>
      </c>
      <c r="CJ32">
        <v>133.10400000000001</v>
      </c>
      <c r="CK32" t="s">
        <v>69</v>
      </c>
      <c r="CL32" t="s">
        <v>69</v>
      </c>
      <c r="CM32">
        <v>449</v>
      </c>
      <c r="CN32" t="s">
        <v>115</v>
      </c>
      <c r="CO32" t="s">
        <v>69</v>
      </c>
      <c r="CP32" t="s">
        <v>71</v>
      </c>
      <c r="CQ32" t="s">
        <v>69</v>
      </c>
      <c r="CR32">
        <v>117.148</v>
      </c>
      <c r="CS32" t="s">
        <v>69</v>
      </c>
      <c r="CT32" t="s">
        <v>69</v>
      </c>
      <c r="CU32">
        <v>473</v>
      </c>
      <c r="CV32" t="s">
        <v>119</v>
      </c>
      <c r="CW32" t="s">
        <v>69</v>
      </c>
      <c r="CX32" t="s">
        <v>120</v>
      </c>
      <c r="CY32" t="s">
        <v>69</v>
      </c>
      <c r="CZ32">
        <v>147.131</v>
      </c>
      <c r="DA32" t="s">
        <v>69</v>
      </c>
      <c r="DB32" t="s">
        <v>69</v>
      </c>
      <c r="DC32">
        <v>487</v>
      </c>
      <c r="DD32" t="s">
        <v>147</v>
      </c>
      <c r="DE32" t="s">
        <v>69</v>
      </c>
      <c r="DF32" t="s">
        <v>148</v>
      </c>
      <c r="DG32" t="s">
        <v>69</v>
      </c>
      <c r="DH32">
        <v>146.14599999999999</v>
      </c>
      <c r="DI32" t="s">
        <v>69</v>
      </c>
      <c r="DJ32" t="s">
        <v>69</v>
      </c>
    </row>
    <row r="33" spans="1:114" x14ac:dyDescent="0.25">
      <c r="A33">
        <v>7</v>
      </c>
      <c r="B33" t="str">
        <f>HYPERLINK("http://www.ncbi.nlm.nih.gov/protein/PKK32817.1","PKK32817.1")</f>
        <v>PKK32817.1</v>
      </c>
      <c r="C33">
        <v>50957</v>
      </c>
      <c r="D33" t="str">
        <f>HYPERLINK("http://www.ncbi.nlm.nih.gov/Taxonomy/Browser/wwwtax.cgi?mode=Info&amp;id=8932&amp;lvl=3&amp;lin=f&amp;keep=1&amp;srchmode=1&amp;unlock","8932")</f>
        <v>8932</v>
      </c>
      <c r="E33" t="s">
        <v>107</v>
      </c>
      <c r="F33" t="str">
        <f>HYPERLINK("http://www.ncbi.nlm.nih.gov/Taxonomy/Browser/wwwtax.cgi?mode=Info&amp;id=8932&amp;lvl=3&amp;lin=f&amp;keep=1&amp;srchmode=1&amp;unlock","Columba livia")</f>
        <v>Columba livia</v>
      </c>
      <c r="G33" t="s">
        <v>108</v>
      </c>
      <c r="H33" t="str">
        <f>HYPERLINK("http://www.ncbi.nlm.nih.gov/protein/PKK32817.1","hypothetical protein A306_00002980")</f>
        <v>hypothetical protein A306_00002980</v>
      </c>
      <c r="I33" t="s">
        <v>270</v>
      </c>
      <c r="J33" t="s">
        <v>69</v>
      </c>
      <c r="K33">
        <v>126</v>
      </c>
      <c r="L33" t="s">
        <v>151</v>
      </c>
      <c r="M33" t="s">
        <v>69</v>
      </c>
      <c r="N33" t="s">
        <v>152</v>
      </c>
      <c r="O33" t="s">
        <v>69</v>
      </c>
      <c r="P33">
        <v>165.19200000000001</v>
      </c>
      <c r="Q33" t="s">
        <v>69</v>
      </c>
      <c r="R33" t="s">
        <v>69</v>
      </c>
      <c r="S33">
        <v>132</v>
      </c>
      <c r="T33" t="s">
        <v>116</v>
      </c>
      <c r="U33" t="s">
        <v>69</v>
      </c>
      <c r="V33" t="s">
        <v>117</v>
      </c>
      <c r="W33" t="s">
        <v>69</v>
      </c>
      <c r="X33">
        <v>149.208</v>
      </c>
      <c r="Y33" t="s">
        <v>69</v>
      </c>
      <c r="Z33" t="s">
        <v>69</v>
      </c>
      <c r="AA33">
        <v>286</v>
      </c>
      <c r="AB33" t="s">
        <v>147</v>
      </c>
      <c r="AC33" t="s">
        <v>69</v>
      </c>
      <c r="AD33" t="s">
        <v>148</v>
      </c>
      <c r="AE33" t="s">
        <v>69</v>
      </c>
      <c r="AF33">
        <v>146.14599999999999</v>
      </c>
      <c r="AG33" t="s">
        <v>69</v>
      </c>
      <c r="AH33" t="s">
        <v>69</v>
      </c>
      <c r="AI33">
        <v>288</v>
      </c>
      <c r="AJ33" t="s">
        <v>147</v>
      </c>
      <c r="AK33" t="s">
        <v>69</v>
      </c>
      <c r="AL33" t="s">
        <v>148</v>
      </c>
      <c r="AM33" t="s">
        <v>69</v>
      </c>
      <c r="AN33">
        <v>146.14599999999999</v>
      </c>
      <c r="AO33" t="s">
        <v>69</v>
      </c>
      <c r="AP33" t="s">
        <v>69</v>
      </c>
      <c r="AQ33">
        <v>320</v>
      </c>
      <c r="AR33" t="s">
        <v>72</v>
      </c>
      <c r="AS33" t="s">
        <v>69</v>
      </c>
      <c r="AT33" t="s">
        <v>71</v>
      </c>
      <c r="AU33" t="s">
        <v>69</v>
      </c>
      <c r="AV33">
        <v>131.17500000000001</v>
      </c>
      <c r="AW33" t="s">
        <v>69</v>
      </c>
      <c r="AX33" t="s">
        <v>69</v>
      </c>
      <c r="AY33">
        <v>354</v>
      </c>
      <c r="AZ33" t="s">
        <v>74</v>
      </c>
      <c r="BA33" t="s">
        <v>69</v>
      </c>
      <c r="BB33" t="s">
        <v>75</v>
      </c>
      <c r="BC33" t="s">
        <v>69</v>
      </c>
      <c r="BD33">
        <v>174.203</v>
      </c>
      <c r="BE33" t="s">
        <v>69</v>
      </c>
      <c r="BF33" t="s">
        <v>69</v>
      </c>
      <c r="BG33">
        <v>384</v>
      </c>
      <c r="BH33" t="s">
        <v>119</v>
      </c>
      <c r="BI33" t="s">
        <v>69</v>
      </c>
      <c r="BJ33" t="s">
        <v>120</v>
      </c>
      <c r="BK33" t="s">
        <v>69</v>
      </c>
      <c r="BL33">
        <v>147.131</v>
      </c>
      <c r="BM33" t="s">
        <v>69</v>
      </c>
      <c r="BN33" t="s">
        <v>69</v>
      </c>
      <c r="BO33">
        <v>391</v>
      </c>
      <c r="BP33" t="s">
        <v>147</v>
      </c>
      <c r="BQ33" t="s">
        <v>69</v>
      </c>
      <c r="BR33" t="s">
        <v>148</v>
      </c>
      <c r="BS33" t="s">
        <v>69</v>
      </c>
      <c r="BT33">
        <v>146.14599999999999</v>
      </c>
      <c r="BU33" t="s">
        <v>69</v>
      </c>
      <c r="BV33" t="s">
        <v>69</v>
      </c>
      <c r="BW33">
        <v>451</v>
      </c>
      <c r="BX33" t="s">
        <v>249</v>
      </c>
      <c r="BY33" t="s">
        <v>69</v>
      </c>
      <c r="BZ33" t="s">
        <v>117</v>
      </c>
      <c r="CA33" t="s">
        <v>69</v>
      </c>
      <c r="CB33">
        <v>121.154</v>
      </c>
      <c r="CC33" t="s">
        <v>69</v>
      </c>
      <c r="CD33" t="s">
        <v>69</v>
      </c>
      <c r="CE33">
        <v>452</v>
      </c>
      <c r="CF33" t="s">
        <v>156</v>
      </c>
      <c r="CG33" t="s">
        <v>69</v>
      </c>
      <c r="CH33" t="s">
        <v>120</v>
      </c>
      <c r="CI33" t="s">
        <v>69</v>
      </c>
      <c r="CJ33">
        <v>133.10400000000001</v>
      </c>
      <c r="CK33" t="s">
        <v>69</v>
      </c>
      <c r="CL33" t="s">
        <v>69</v>
      </c>
      <c r="CM33">
        <v>463</v>
      </c>
      <c r="CN33" t="s">
        <v>115</v>
      </c>
      <c r="CO33" t="s">
        <v>69</v>
      </c>
      <c r="CP33" t="s">
        <v>71</v>
      </c>
      <c r="CQ33" t="s">
        <v>69</v>
      </c>
      <c r="CR33">
        <v>117.148</v>
      </c>
      <c r="CS33" t="s">
        <v>69</v>
      </c>
      <c r="CT33" t="s">
        <v>69</v>
      </c>
      <c r="CU33">
        <v>487</v>
      </c>
      <c r="CV33" t="s">
        <v>119</v>
      </c>
      <c r="CW33" t="s">
        <v>69</v>
      </c>
      <c r="CX33" t="s">
        <v>120</v>
      </c>
      <c r="CY33" t="s">
        <v>69</v>
      </c>
      <c r="CZ33">
        <v>147.131</v>
      </c>
      <c r="DA33" t="s">
        <v>69</v>
      </c>
      <c r="DB33" t="s">
        <v>69</v>
      </c>
      <c r="DC33">
        <v>501</v>
      </c>
      <c r="DD33" t="s">
        <v>147</v>
      </c>
      <c r="DE33" t="s">
        <v>69</v>
      </c>
      <c r="DF33" t="s">
        <v>148</v>
      </c>
      <c r="DG33" t="s">
        <v>69</v>
      </c>
      <c r="DH33">
        <v>146.14599999999999</v>
      </c>
      <c r="DI33" t="s">
        <v>69</v>
      </c>
      <c r="DJ33" t="s">
        <v>69</v>
      </c>
    </row>
    <row r="34" spans="1:114" x14ac:dyDescent="0.25">
      <c r="A34">
        <v>7</v>
      </c>
      <c r="B34" t="str">
        <f>HYPERLINK("http://www.ncbi.nlm.nih.gov/protein/XP_039547537.1","XP_039547537.1")</f>
        <v>XP_039547537.1</v>
      </c>
      <c r="C34">
        <v>96114</v>
      </c>
      <c r="D34" t="str">
        <f>HYPERLINK("http://www.ncbi.nlm.nih.gov/Taxonomy/Browser/wwwtax.cgi?mode=Info&amp;id=90988&amp;lvl=3&amp;lin=f&amp;keep=1&amp;srchmode=1&amp;unlock","90988")</f>
        <v>90988</v>
      </c>
      <c r="E34" t="s">
        <v>113</v>
      </c>
      <c r="F34" t="str">
        <f>HYPERLINK("http://www.ncbi.nlm.nih.gov/Taxonomy/Browser/wwwtax.cgi?mode=Info&amp;id=90988&amp;lvl=3&amp;lin=f&amp;keep=1&amp;srchmode=1&amp;unlock","Pimephales promelas")</f>
        <v>Pimephales promelas</v>
      </c>
      <c r="G34" t="s">
        <v>114</v>
      </c>
      <c r="H34" t="str">
        <f>HYPERLINK("http://www.ncbi.nlm.nih.gov/protein/XP_039547537.1","mitochondrial import receptor subunit TOM70")</f>
        <v>mitochondrial import receptor subunit TOM70</v>
      </c>
      <c r="I34" t="s">
        <v>270</v>
      </c>
      <c r="J34" t="s">
        <v>69</v>
      </c>
      <c r="K34">
        <v>190</v>
      </c>
      <c r="L34" t="s">
        <v>151</v>
      </c>
      <c r="M34" t="s">
        <v>69</v>
      </c>
      <c r="N34" t="s">
        <v>152</v>
      </c>
      <c r="O34" t="s">
        <v>69</v>
      </c>
      <c r="P34">
        <v>165.19200000000001</v>
      </c>
      <c r="Q34" t="s">
        <v>69</v>
      </c>
      <c r="R34" t="s">
        <v>69</v>
      </c>
      <c r="S34">
        <v>196</v>
      </c>
      <c r="T34" t="s">
        <v>116</v>
      </c>
      <c r="U34" t="s">
        <v>69</v>
      </c>
      <c r="V34" t="s">
        <v>117</v>
      </c>
      <c r="W34" t="s">
        <v>69</v>
      </c>
      <c r="X34">
        <v>149.208</v>
      </c>
      <c r="Y34" t="s">
        <v>69</v>
      </c>
      <c r="Z34" t="s">
        <v>69</v>
      </c>
      <c r="AA34">
        <v>350</v>
      </c>
      <c r="AB34" t="s">
        <v>147</v>
      </c>
      <c r="AC34" t="s">
        <v>69</v>
      </c>
      <c r="AD34" t="s">
        <v>148</v>
      </c>
      <c r="AE34" t="s">
        <v>69</v>
      </c>
      <c r="AF34">
        <v>146.14599999999999</v>
      </c>
      <c r="AG34" t="s">
        <v>69</v>
      </c>
      <c r="AH34" t="s">
        <v>69</v>
      </c>
      <c r="AI34">
        <v>352</v>
      </c>
      <c r="AJ34" t="s">
        <v>147</v>
      </c>
      <c r="AK34" t="s">
        <v>69</v>
      </c>
      <c r="AL34" t="s">
        <v>148</v>
      </c>
      <c r="AM34" t="s">
        <v>69</v>
      </c>
      <c r="AN34">
        <v>146.14599999999999</v>
      </c>
      <c r="AO34" t="s">
        <v>69</v>
      </c>
      <c r="AP34" t="s">
        <v>69</v>
      </c>
      <c r="AQ34">
        <v>384</v>
      </c>
      <c r="AR34" t="s">
        <v>72</v>
      </c>
      <c r="AS34" t="s">
        <v>69</v>
      </c>
      <c r="AT34" t="s">
        <v>71</v>
      </c>
      <c r="AU34" t="s">
        <v>69</v>
      </c>
      <c r="AV34">
        <v>131.17500000000001</v>
      </c>
      <c r="AW34" t="s">
        <v>69</v>
      </c>
      <c r="AX34" t="s">
        <v>69</v>
      </c>
      <c r="AY34">
        <v>418</v>
      </c>
      <c r="AZ34" t="s">
        <v>74</v>
      </c>
      <c r="BA34" t="s">
        <v>69</v>
      </c>
      <c r="BB34" t="s">
        <v>75</v>
      </c>
      <c r="BC34" t="s">
        <v>69</v>
      </c>
      <c r="BD34">
        <v>174.203</v>
      </c>
      <c r="BE34" t="s">
        <v>69</v>
      </c>
      <c r="BF34" t="s">
        <v>69</v>
      </c>
      <c r="BG34">
        <v>448</v>
      </c>
      <c r="BH34" t="s">
        <v>119</v>
      </c>
      <c r="BI34" t="s">
        <v>69</v>
      </c>
      <c r="BJ34" t="s">
        <v>120</v>
      </c>
      <c r="BK34" t="s">
        <v>69</v>
      </c>
      <c r="BL34">
        <v>147.131</v>
      </c>
      <c r="BM34" t="s">
        <v>69</v>
      </c>
      <c r="BN34" t="s">
        <v>69</v>
      </c>
      <c r="BO34">
        <v>455</v>
      </c>
      <c r="BP34" t="s">
        <v>147</v>
      </c>
      <c r="BQ34" t="s">
        <v>69</v>
      </c>
      <c r="BR34" t="s">
        <v>148</v>
      </c>
      <c r="BS34" t="s">
        <v>69</v>
      </c>
      <c r="BT34">
        <v>146.14599999999999</v>
      </c>
      <c r="BU34" t="s">
        <v>69</v>
      </c>
      <c r="BV34" t="s">
        <v>69</v>
      </c>
      <c r="BW34">
        <v>515</v>
      </c>
      <c r="BX34" t="s">
        <v>249</v>
      </c>
      <c r="BY34" t="s">
        <v>69</v>
      </c>
      <c r="BZ34" t="s">
        <v>117</v>
      </c>
      <c r="CA34" t="s">
        <v>69</v>
      </c>
      <c r="CB34">
        <v>121.154</v>
      </c>
      <c r="CC34" t="s">
        <v>69</v>
      </c>
      <c r="CD34" t="s">
        <v>69</v>
      </c>
      <c r="CE34">
        <v>516</v>
      </c>
      <c r="CF34" t="s">
        <v>156</v>
      </c>
      <c r="CG34" t="s">
        <v>69</v>
      </c>
      <c r="CH34" t="s">
        <v>120</v>
      </c>
      <c r="CI34" t="s">
        <v>69</v>
      </c>
      <c r="CJ34">
        <v>133.10400000000001</v>
      </c>
      <c r="CK34" t="s">
        <v>69</v>
      </c>
      <c r="CL34" t="s">
        <v>69</v>
      </c>
      <c r="CM34">
        <v>527</v>
      </c>
      <c r="CN34" t="s">
        <v>115</v>
      </c>
      <c r="CO34" t="s">
        <v>69</v>
      </c>
      <c r="CP34" t="s">
        <v>71</v>
      </c>
      <c r="CQ34" t="s">
        <v>69</v>
      </c>
      <c r="CR34">
        <v>117.148</v>
      </c>
      <c r="CS34" t="s">
        <v>69</v>
      </c>
      <c r="CT34" t="s">
        <v>69</v>
      </c>
      <c r="CU34">
        <v>551</v>
      </c>
      <c r="CV34" t="s">
        <v>119</v>
      </c>
      <c r="CW34" t="s">
        <v>69</v>
      </c>
      <c r="CX34" t="s">
        <v>120</v>
      </c>
      <c r="CY34" t="s">
        <v>69</v>
      </c>
      <c r="CZ34">
        <v>147.131</v>
      </c>
      <c r="DA34" t="s">
        <v>69</v>
      </c>
      <c r="DB34" t="s">
        <v>69</v>
      </c>
      <c r="DC34">
        <v>565</v>
      </c>
      <c r="DD34" t="s">
        <v>147</v>
      </c>
      <c r="DE34" t="s">
        <v>69</v>
      </c>
      <c r="DF34" t="s">
        <v>148</v>
      </c>
      <c r="DG34" t="s">
        <v>69</v>
      </c>
      <c r="DH34">
        <v>146.14599999999999</v>
      </c>
      <c r="DI34" t="s">
        <v>69</v>
      </c>
      <c r="DJ34" t="s">
        <v>69</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N33"/>
  <sheetViews>
    <sheetView workbookViewId="0"/>
  </sheetViews>
  <sheetFormatPr defaultRowHeight="15" x14ac:dyDescent="0.25"/>
  <sheetData>
    <row r="1" spans="1:27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c r="DK1" t="s">
        <v>184</v>
      </c>
      <c r="DL1" t="s">
        <v>185</v>
      </c>
      <c r="DM1" t="s">
        <v>186</v>
      </c>
      <c r="DN1" t="s">
        <v>187</v>
      </c>
      <c r="DO1" t="s">
        <v>188</v>
      </c>
      <c r="DP1" t="s">
        <v>189</v>
      </c>
      <c r="DQ1" t="s">
        <v>190</v>
      </c>
      <c r="DR1" t="s">
        <v>191</v>
      </c>
      <c r="DS1" t="s">
        <v>192</v>
      </c>
      <c r="DT1" t="s">
        <v>193</v>
      </c>
      <c r="DU1" t="s">
        <v>194</v>
      </c>
      <c r="DV1" t="s">
        <v>195</v>
      </c>
      <c r="DW1" t="s">
        <v>196</v>
      </c>
      <c r="DX1" t="s">
        <v>197</v>
      </c>
      <c r="DY1" t="s">
        <v>198</v>
      </c>
      <c r="DZ1" t="s">
        <v>199</v>
      </c>
      <c r="EA1" t="s">
        <v>200</v>
      </c>
      <c r="EB1" t="s">
        <v>201</v>
      </c>
      <c r="EC1" t="s">
        <v>202</v>
      </c>
      <c r="ED1" t="s">
        <v>203</v>
      </c>
      <c r="EE1" t="s">
        <v>204</v>
      </c>
      <c r="EF1" t="s">
        <v>205</v>
      </c>
      <c r="EG1" t="s">
        <v>206</v>
      </c>
      <c r="EH1" t="s">
        <v>207</v>
      </c>
      <c r="EI1" t="s">
        <v>208</v>
      </c>
      <c r="EJ1" t="s">
        <v>209</v>
      </c>
      <c r="EK1" t="s">
        <v>210</v>
      </c>
      <c r="EL1" t="s">
        <v>211</v>
      </c>
      <c r="EM1" t="s">
        <v>212</v>
      </c>
      <c r="EN1" t="s">
        <v>213</v>
      </c>
      <c r="EO1" t="s">
        <v>214</v>
      </c>
      <c r="EP1" t="s">
        <v>215</v>
      </c>
      <c r="EQ1" t="s">
        <v>216</v>
      </c>
      <c r="ER1" t="s">
        <v>217</v>
      </c>
      <c r="ES1" t="s">
        <v>218</v>
      </c>
      <c r="ET1" t="s">
        <v>219</v>
      </c>
      <c r="EU1" t="s">
        <v>220</v>
      </c>
      <c r="EV1" t="s">
        <v>221</v>
      </c>
      <c r="EW1" t="s">
        <v>222</v>
      </c>
      <c r="EX1" t="s">
        <v>223</v>
      </c>
      <c r="EY1" t="s">
        <v>224</v>
      </c>
      <c r="EZ1" t="s">
        <v>225</v>
      </c>
      <c r="FA1" t="s">
        <v>226</v>
      </c>
      <c r="FB1" t="s">
        <v>227</v>
      </c>
      <c r="FC1" t="s">
        <v>228</v>
      </c>
      <c r="FD1" t="s">
        <v>229</v>
      </c>
      <c r="FE1" t="s">
        <v>230</v>
      </c>
      <c r="FF1" t="s">
        <v>231</v>
      </c>
      <c r="FG1" t="s">
        <v>232</v>
      </c>
      <c r="FH1" t="s">
        <v>233</v>
      </c>
      <c r="FI1" t="s">
        <v>234</v>
      </c>
      <c r="FJ1" t="s">
        <v>235</v>
      </c>
      <c r="FK1" t="s">
        <v>236</v>
      </c>
      <c r="FL1" t="s">
        <v>237</v>
      </c>
      <c r="FM1" t="s">
        <v>238</v>
      </c>
      <c r="FN1" t="s">
        <v>239</v>
      </c>
      <c r="FO1" t="s">
        <v>240</v>
      </c>
      <c r="FP1" t="s">
        <v>241</v>
      </c>
      <c r="FQ1" t="s">
        <v>242</v>
      </c>
      <c r="FR1" t="s">
        <v>243</v>
      </c>
      <c r="FS1" t="s">
        <v>244</v>
      </c>
      <c r="FT1" t="s">
        <v>245</v>
      </c>
      <c r="FU1" t="s">
        <v>246</v>
      </c>
      <c r="FV1" t="s">
        <v>247</v>
      </c>
      <c r="FW1" t="s">
        <v>271</v>
      </c>
      <c r="FX1" t="s">
        <v>272</v>
      </c>
      <c r="FY1" t="s">
        <v>273</v>
      </c>
      <c r="FZ1" t="s">
        <v>274</v>
      </c>
      <c r="GA1" t="s">
        <v>275</v>
      </c>
      <c r="GB1" t="s">
        <v>276</v>
      </c>
      <c r="GC1" t="s">
        <v>277</v>
      </c>
      <c r="GD1" t="s">
        <v>278</v>
      </c>
      <c r="GE1" t="s">
        <v>279</v>
      </c>
      <c r="GF1" t="s">
        <v>280</v>
      </c>
      <c r="GG1" t="s">
        <v>281</v>
      </c>
      <c r="GH1" t="s">
        <v>282</v>
      </c>
      <c r="GI1" t="s">
        <v>283</v>
      </c>
      <c r="GJ1" t="s">
        <v>284</v>
      </c>
      <c r="GK1" t="s">
        <v>285</v>
      </c>
      <c r="GL1" t="s">
        <v>286</v>
      </c>
      <c r="GM1" t="s">
        <v>287</v>
      </c>
      <c r="GN1" t="s">
        <v>288</v>
      </c>
      <c r="GO1" t="s">
        <v>289</v>
      </c>
      <c r="GP1" t="s">
        <v>290</v>
      </c>
      <c r="GQ1" t="s">
        <v>291</v>
      </c>
      <c r="GR1" t="s">
        <v>292</v>
      </c>
      <c r="GS1" t="s">
        <v>293</v>
      </c>
      <c r="GT1" t="s">
        <v>294</v>
      </c>
      <c r="GU1" t="s">
        <v>295</v>
      </c>
      <c r="GV1" t="s">
        <v>296</v>
      </c>
      <c r="GW1" t="s">
        <v>297</v>
      </c>
      <c r="GX1" t="s">
        <v>298</v>
      </c>
      <c r="GY1" t="s">
        <v>299</v>
      </c>
      <c r="GZ1" t="s">
        <v>300</v>
      </c>
      <c r="HA1" t="s">
        <v>301</v>
      </c>
      <c r="HB1" t="s">
        <v>302</v>
      </c>
      <c r="HC1" t="s">
        <v>303</v>
      </c>
      <c r="HD1" t="s">
        <v>304</v>
      </c>
      <c r="HE1" t="s">
        <v>305</v>
      </c>
      <c r="HF1" t="s">
        <v>306</v>
      </c>
      <c r="HG1" t="s">
        <v>307</v>
      </c>
      <c r="HH1" t="s">
        <v>308</v>
      </c>
      <c r="HI1" t="s">
        <v>309</v>
      </c>
      <c r="HJ1" t="s">
        <v>310</v>
      </c>
      <c r="HK1" t="s">
        <v>311</v>
      </c>
      <c r="HL1" t="s">
        <v>312</v>
      </c>
      <c r="HM1" t="s">
        <v>313</v>
      </c>
      <c r="HN1" t="s">
        <v>314</v>
      </c>
      <c r="HO1" t="s">
        <v>315</v>
      </c>
      <c r="HP1" t="s">
        <v>316</v>
      </c>
      <c r="HQ1" t="s">
        <v>317</v>
      </c>
      <c r="HR1" t="s">
        <v>318</v>
      </c>
      <c r="HS1" t="s">
        <v>319</v>
      </c>
      <c r="HT1" t="s">
        <v>320</v>
      </c>
      <c r="HU1" t="s">
        <v>321</v>
      </c>
      <c r="HV1" t="s">
        <v>322</v>
      </c>
      <c r="HW1" t="s">
        <v>323</v>
      </c>
      <c r="HX1" t="s">
        <v>324</v>
      </c>
      <c r="HY1" t="s">
        <v>325</v>
      </c>
      <c r="HZ1" t="s">
        <v>326</v>
      </c>
      <c r="IA1" t="s">
        <v>327</v>
      </c>
      <c r="IB1" t="s">
        <v>328</v>
      </c>
      <c r="IC1" t="s">
        <v>329</v>
      </c>
      <c r="ID1" t="s">
        <v>330</v>
      </c>
      <c r="IE1" t="s">
        <v>331</v>
      </c>
      <c r="IF1" t="s">
        <v>332</v>
      </c>
      <c r="IG1" t="s">
        <v>333</v>
      </c>
      <c r="IH1" t="s">
        <v>334</v>
      </c>
      <c r="II1" t="s">
        <v>335</v>
      </c>
      <c r="IJ1" t="s">
        <v>336</v>
      </c>
      <c r="IK1" t="s">
        <v>337</v>
      </c>
      <c r="IL1" t="s">
        <v>338</v>
      </c>
      <c r="IM1" t="s">
        <v>339</v>
      </c>
      <c r="IN1" t="s">
        <v>340</v>
      </c>
      <c r="IO1" t="s">
        <v>341</v>
      </c>
      <c r="IP1" t="s">
        <v>342</v>
      </c>
      <c r="IQ1" t="s">
        <v>343</v>
      </c>
      <c r="IR1" t="s">
        <v>344</v>
      </c>
      <c r="IS1" t="s">
        <v>345</v>
      </c>
      <c r="IT1" t="s">
        <v>346</v>
      </c>
      <c r="IU1" t="s">
        <v>347</v>
      </c>
      <c r="IV1" t="s">
        <v>348</v>
      </c>
      <c r="IW1" t="s">
        <v>349</v>
      </c>
      <c r="IX1" t="s">
        <v>350</v>
      </c>
      <c r="IY1" t="s">
        <v>351</v>
      </c>
      <c r="IZ1" t="s">
        <v>352</v>
      </c>
      <c r="JA1" t="s">
        <v>353</v>
      </c>
      <c r="JB1" t="s">
        <v>354</v>
      </c>
      <c r="JC1" t="s">
        <v>355</v>
      </c>
      <c r="JD1" t="s">
        <v>356</v>
      </c>
      <c r="JE1" t="s">
        <v>357</v>
      </c>
      <c r="JF1" t="s">
        <v>358</v>
      </c>
      <c r="JG1" t="s">
        <v>359</v>
      </c>
      <c r="JH1" t="s">
        <v>360</v>
      </c>
      <c r="JI1" t="s">
        <v>361</v>
      </c>
      <c r="JJ1" t="s">
        <v>362</v>
      </c>
      <c r="JK1" t="s">
        <v>363</v>
      </c>
      <c r="JL1" t="s">
        <v>364</v>
      </c>
      <c r="JM1" t="s">
        <v>365</v>
      </c>
      <c r="JN1" t="s">
        <v>366</v>
      </c>
    </row>
    <row r="2" spans="1:274" x14ac:dyDescent="0.25">
      <c r="A2">
        <v>7</v>
      </c>
      <c r="B2" t="str">
        <f>HYPERLINK("http://www.ncbi.nlm.nih.gov/protein/NP_055635.3","NP_055635.3")</f>
        <v>NP_055635.3</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HYPERLINK("http://www.ncbi.nlm.nih.gov/protein/NP_055635.3","mitochondrial import receptor subunit TOM70")</f>
        <v>mitochondrial import receptor subunit TOM70</v>
      </c>
      <c r="I2" t="s">
        <v>270</v>
      </c>
      <c r="J2" t="s">
        <v>69</v>
      </c>
      <c r="K2">
        <v>215</v>
      </c>
      <c r="L2" t="s">
        <v>145</v>
      </c>
      <c r="M2" t="s">
        <v>69</v>
      </c>
      <c r="N2" t="s">
        <v>71</v>
      </c>
      <c r="O2" t="s">
        <v>69</v>
      </c>
      <c r="P2">
        <v>131.17500000000001</v>
      </c>
      <c r="Q2" t="s">
        <v>69</v>
      </c>
      <c r="R2" t="s">
        <v>69</v>
      </c>
      <c r="S2">
        <v>256</v>
      </c>
      <c r="T2" t="s">
        <v>151</v>
      </c>
      <c r="U2" t="s">
        <v>69</v>
      </c>
      <c r="V2" t="s">
        <v>152</v>
      </c>
      <c r="W2" t="s">
        <v>69</v>
      </c>
      <c r="X2">
        <v>165.19200000000001</v>
      </c>
      <c r="Y2" t="s">
        <v>69</v>
      </c>
      <c r="Z2" t="s">
        <v>69</v>
      </c>
      <c r="AA2">
        <v>259</v>
      </c>
      <c r="AB2" t="s">
        <v>155</v>
      </c>
      <c r="AC2" t="s">
        <v>69</v>
      </c>
      <c r="AD2" t="s">
        <v>150</v>
      </c>
      <c r="AE2" t="s">
        <v>69</v>
      </c>
      <c r="AF2">
        <v>105.093</v>
      </c>
      <c r="AG2" t="s">
        <v>69</v>
      </c>
      <c r="AH2" t="s">
        <v>69</v>
      </c>
      <c r="AI2">
        <v>260</v>
      </c>
      <c r="AJ2" t="s">
        <v>69</v>
      </c>
      <c r="AK2" t="s">
        <v>69</v>
      </c>
      <c r="AL2" t="s">
        <v>152</v>
      </c>
      <c r="AM2" t="s">
        <v>69</v>
      </c>
      <c r="AN2">
        <v>181.191</v>
      </c>
      <c r="AO2" t="s">
        <v>69</v>
      </c>
      <c r="AP2" t="s">
        <v>69</v>
      </c>
      <c r="AQ2">
        <v>340</v>
      </c>
      <c r="AR2" t="s">
        <v>72</v>
      </c>
      <c r="AS2" t="s">
        <v>69</v>
      </c>
      <c r="AT2" t="s">
        <v>71</v>
      </c>
      <c r="AU2" t="s">
        <v>69</v>
      </c>
      <c r="AV2">
        <v>131.17500000000001</v>
      </c>
      <c r="AW2" t="s">
        <v>69</v>
      </c>
      <c r="AX2" t="s">
        <v>69</v>
      </c>
      <c r="AY2">
        <v>341</v>
      </c>
      <c r="AZ2" t="s">
        <v>72</v>
      </c>
      <c r="BA2" t="s">
        <v>69</v>
      </c>
      <c r="BB2" t="s">
        <v>71</v>
      </c>
      <c r="BC2" t="s">
        <v>69</v>
      </c>
      <c r="BD2">
        <v>131.17500000000001</v>
      </c>
      <c r="BE2" t="s">
        <v>69</v>
      </c>
      <c r="BF2" t="s">
        <v>69</v>
      </c>
      <c r="BG2">
        <v>375</v>
      </c>
      <c r="BH2" t="s">
        <v>155</v>
      </c>
      <c r="BI2" t="s">
        <v>69</v>
      </c>
      <c r="BJ2" t="s">
        <v>150</v>
      </c>
      <c r="BK2" t="s">
        <v>69</v>
      </c>
      <c r="BL2">
        <v>105.093</v>
      </c>
      <c r="BM2" t="s">
        <v>69</v>
      </c>
      <c r="BN2" t="s">
        <v>69</v>
      </c>
      <c r="BO2">
        <v>378</v>
      </c>
      <c r="BP2" t="s">
        <v>116</v>
      </c>
      <c r="BQ2" t="s">
        <v>69</v>
      </c>
      <c r="BR2" t="s">
        <v>117</v>
      </c>
      <c r="BS2" t="s">
        <v>69</v>
      </c>
      <c r="BT2">
        <v>149.208</v>
      </c>
      <c r="BU2" t="s">
        <v>69</v>
      </c>
      <c r="BV2" t="s">
        <v>69</v>
      </c>
      <c r="BW2">
        <v>409</v>
      </c>
      <c r="BX2" t="s">
        <v>147</v>
      </c>
      <c r="BY2" t="s">
        <v>69</v>
      </c>
      <c r="BZ2" t="s">
        <v>148</v>
      </c>
      <c r="CA2" t="s">
        <v>69</v>
      </c>
      <c r="CB2">
        <v>146.14599999999999</v>
      </c>
      <c r="CC2" t="s">
        <v>69</v>
      </c>
      <c r="CD2" t="s">
        <v>69</v>
      </c>
      <c r="CE2">
        <v>410</v>
      </c>
      <c r="CF2" t="s">
        <v>72</v>
      </c>
      <c r="CG2" t="s">
        <v>69</v>
      </c>
      <c r="CH2" t="s">
        <v>71</v>
      </c>
      <c r="CI2" t="s">
        <v>69</v>
      </c>
      <c r="CJ2">
        <v>131.17500000000001</v>
      </c>
      <c r="CK2" t="s">
        <v>69</v>
      </c>
      <c r="CL2" t="s">
        <v>69</v>
      </c>
      <c r="CM2">
        <v>412</v>
      </c>
      <c r="CN2" t="s">
        <v>145</v>
      </c>
      <c r="CO2" t="s">
        <v>69</v>
      </c>
      <c r="CP2" t="s">
        <v>71</v>
      </c>
      <c r="CQ2" t="s">
        <v>69</v>
      </c>
      <c r="CR2">
        <v>131.17500000000001</v>
      </c>
      <c r="CS2" t="s">
        <v>69</v>
      </c>
      <c r="CT2" t="s">
        <v>69</v>
      </c>
      <c r="CU2">
        <v>414</v>
      </c>
      <c r="CV2" t="s">
        <v>72</v>
      </c>
      <c r="CW2" t="s">
        <v>69</v>
      </c>
      <c r="CX2" t="s">
        <v>71</v>
      </c>
      <c r="CY2" t="s">
        <v>69</v>
      </c>
      <c r="CZ2">
        <v>131.17500000000001</v>
      </c>
      <c r="DA2" t="s">
        <v>69</v>
      </c>
      <c r="DB2" t="s">
        <v>69</v>
      </c>
      <c r="DC2">
        <v>443</v>
      </c>
      <c r="DD2" t="s">
        <v>151</v>
      </c>
      <c r="DE2" t="s">
        <v>69</v>
      </c>
      <c r="DF2" t="s">
        <v>152</v>
      </c>
      <c r="DG2" t="s">
        <v>69</v>
      </c>
      <c r="DH2">
        <v>165.19200000000001</v>
      </c>
      <c r="DI2" t="s">
        <v>69</v>
      </c>
      <c r="DJ2" t="s">
        <v>69</v>
      </c>
      <c r="DK2">
        <v>480</v>
      </c>
      <c r="DL2" t="s">
        <v>73</v>
      </c>
      <c r="DM2" t="s">
        <v>69</v>
      </c>
      <c r="DN2" t="s">
        <v>71</v>
      </c>
      <c r="DO2" t="s">
        <v>69</v>
      </c>
      <c r="DP2">
        <v>89.093999999999994</v>
      </c>
      <c r="DQ2" t="s">
        <v>69</v>
      </c>
      <c r="DR2" t="s">
        <v>69</v>
      </c>
      <c r="DS2">
        <v>481</v>
      </c>
      <c r="DT2" t="s">
        <v>72</v>
      </c>
      <c r="DU2" t="s">
        <v>69</v>
      </c>
      <c r="DV2" t="s">
        <v>71</v>
      </c>
      <c r="DW2" t="s">
        <v>69</v>
      </c>
      <c r="DX2">
        <v>131.17500000000001</v>
      </c>
      <c r="DY2" t="s">
        <v>69</v>
      </c>
      <c r="DZ2" t="s">
        <v>69</v>
      </c>
      <c r="EA2">
        <v>511</v>
      </c>
      <c r="EB2" t="s">
        <v>149</v>
      </c>
      <c r="EC2" t="s">
        <v>69</v>
      </c>
      <c r="ED2" t="s">
        <v>150</v>
      </c>
      <c r="EE2" t="s">
        <v>69</v>
      </c>
      <c r="EF2">
        <v>119.119</v>
      </c>
      <c r="EG2" t="s">
        <v>69</v>
      </c>
      <c r="EH2" t="s">
        <v>69</v>
      </c>
      <c r="EI2">
        <v>515</v>
      </c>
      <c r="EJ2" t="s">
        <v>157</v>
      </c>
      <c r="EK2" t="s">
        <v>69</v>
      </c>
      <c r="EL2" t="s">
        <v>75</v>
      </c>
      <c r="EM2" t="s">
        <v>69</v>
      </c>
      <c r="EN2">
        <v>155.15600000000001</v>
      </c>
      <c r="EO2" t="s">
        <v>69</v>
      </c>
      <c r="EP2" t="s">
        <v>69</v>
      </c>
      <c r="EQ2">
        <v>518</v>
      </c>
      <c r="ER2" t="s">
        <v>72</v>
      </c>
      <c r="ES2" t="s">
        <v>69</v>
      </c>
      <c r="ET2" t="s">
        <v>71</v>
      </c>
      <c r="EU2" t="s">
        <v>69</v>
      </c>
      <c r="EV2">
        <v>131.17500000000001</v>
      </c>
      <c r="EW2" t="s">
        <v>69</v>
      </c>
      <c r="EX2" t="s">
        <v>69</v>
      </c>
      <c r="EY2">
        <v>521</v>
      </c>
      <c r="EZ2" t="s">
        <v>72</v>
      </c>
      <c r="FA2" t="s">
        <v>69</v>
      </c>
      <c r="FB2" t="s">
        <v>71</v>
      </c>
      <c r="FC2" t="s">
        <v>69</v>
      </c>
      <c r="FD2">
        <v>131.17500000000001</v>
      </c>
      <c r="FE2" t="s">
        <v>69</v>
      </c>
      <c r="FF2" t="s">
        <v>69</v>
      </c>
      <c r="FG2">
        <v>522</v>
      </c>
      <c r="FH2" t="s">
        <v>147</v>
      </c>
      <c r="FI2" t="s">
        <v>69</v>
      </c>
      <c r="FJ2" t="s">
        <v>148</v>
      </c>
      <c r="FK2" t="s">
        <v>69</v>
      </c>
      <c r="FL2">
        <v>146.14599999999999</v>
      </c>
      <c r="FM2" t="s">
        <v>69</v>
      </c>
      <c r="FN2" t="s">
        <v>69</v>
      </c>
      <c r="FO2">
        <v>546</v>
      </c>
      <c r="FP2" t="s">
        <v>151</v>
      </c>
      <c r="FQ2" t="s">
        <v>69</v>
      </c>
      <c r="FR2" t="s">
        <v>152</v>
      </c>
      <c r="FS2" t="s">
        <v>69</v>
      </c>
      <c r="FT2">
        <v>165.19200000000001</v>
      </c>
      <c r="FU2" t="s">
        <v>69</v>
      </c>
      <c r="FV2" t="s">
        <v>69</v>
      </c>
      <c r="FW2">
        <v>549</v>
      </c>
      <c r="FX2" t="s">
        <v>119</v>
      </c>
      <c r="FY2" t="s">
        <v>69</v>
      </c>
      <c r="FZ2" t="s">
        <v>120</v>
      </c>
      <c r="GA2" t="s">
        <v>69</v>
      </c>
      <c r="GB2">
        <v>147.131</v>
      </c>
      <c r="GC2" t="s">
        <v>69</v>
      </c>
      <c r="GD2" t="s">
        <v>69</v>
      </c>
      <c r="GE2">
        <v>550</v>
      </c>
      <c r="GF2" t="s">
        <v>149</v>
      </c>
      <c r="GG2" t="s">
        <v>69</v>
      </c>
      <c r="GH2" t="s">
        <v>150</v>
      </c>
      <c r="GI2" t="s">
        <v>69</v>
      </c>
      <c r="GJ2">
        <v>119.119</v>
      </c>
      <c r="GK2" t="s">
        <v>69</v>
      </c>
      <c r="GL2" t="s">
        <v>69</v>
      </c>
      <c r="GM2">
        <v>553</v>
      </c>
      <c r="GN2" t="s">
        <v>149</v>
      </c>
      <c r="GO2" t="s">
        <v>69</v>
      </c>
      <c r="GP2" t="s">
        <v>150</v>
      </c>
      <c r="GQ2" t="s">
        <v>69</v>
      </c>
      <c r="GR2">
        <v>119.119</v>
      </c>
      <c r="GS2" t="s">
        <v>69</v>
      </c>
      <c r="GT2" t="s">
        <v>69</v>
      </c>
      <c r="GU2">
        <v>557</v>
      </c>
      <c r="GV2" t="s">
        <v>147</v>
      </c>
      <c r="GW2" t="s">
        <v>69</v>
      </c>
      <c r="GX2" t="s">
        <v>148</v>
      </c>
      <c r="GY2" t="s">
        <v>69</v>
      </c>
      <c r="GZ2">
        <v>146.14599999999999</v>
      </c>
      <c r="HA2" t="s">
        <v>69</v>
      </c>
      <c r="HB2" t="s">
        <v>69</v>
      </c>
      <c r="HC2">
        <v>559</v>
      </c>
      <c r="HD2" t="s">
        <v>70</v>
      </c>
      <c r="HE2" t="s">
        <v>69</v>
      </c>
      <c r="HF2" t="s">
        <v>71</v>
      </c>
      <c r="HG2" t="s">
        <v>69</v>
      </c>
      <c r="HH2">
        <v>75.066999999999993</v>
      </c>
      <c r="HI2" t="s">
        <v>69</v>
      </c>
      <c r="HJ2" t="s">
        <v>69</v>
      </c>
      <c r="HK2">
        <v>561</v>
      </c>
      <c r="HL2" t="s">
        <v>116</v>
      </c>
      <c r="HM2" t="s">
        <v>69</v>
      </c>
      <c r="HN2" t="s">
        <v>117</v>
      </c>
      <c r="HO2" t="s">
        <v>69</v>
      </c>
      <c r="HP2">
        <v>149.208</v>
      </c>
      <c r="HQ2" t="s">
        <v>69</v>
      </c>
      <c r="HR2" t="s">
        <v>69</v>
      </c>
      <c r="HS2">
        <v>579</v>
      </c>
      <c r="HT2" t="s">
        <v>116</v>
      </c>
      <c r="HU2" t="s">
        <v>69</v>
      </c>
      <c r="HV2" t="s">
        <v>117</v>
      </c>
      <c r="HW2" t="s">
        <v>69</v>
      </c>
      <c r="HX2">
        <v>149.208</v>
      </c>
      <c r="HY2" t="s">
        <v>69</v>
      </c>
      <c r="HZ2" t="s">
        <v>69</v>
      </c>
      <c r="IA2">
        <v>583</v>
      </c>
      <c r="IB2" t="s">
        <v>157</v>
      </c>
      <c r="IC2" t="s">
        <v>69</v>
      </c>
      <c r="ID2" t="s">
        <v>75</v>
      </c>
      <c r="IE2" t="s">
        <v>69</v>
      </c>
      <c r="IF2">
        <v>155.15600000000001</v>
      </c>
      <c r="IG2" t="s">
        <v>69</v>
      </c>
      <c r="IH2" t="s">
        <v>69</v>
      </c>
      <c r="II2">
        <v>587</v>
      </c>
      <c r="IJ2" t="s">
        <v>72</v>
      </c>
      <c r="IK2" t="s">
        <v>69</v>
      </c>
      <c r="IL2" t="s">
        <v>71</v>
      </c>
      <c r="IM2" t="s">
        <v>69</v>
      </c>
      <c r="IN2">
        <v>131.17500000000001</v>
      </c>
      <c r="IO2" t="s">
        <v>69</v>
      </c>
      <c r="IP2" t="s">
        <v>69</v>
      </c>
      <c r="IQ2">
        <v>590</v>
      </c>
      <c r="IR2" t="s">
        <v>73</v>
      </c>
      <c r="IS2" t="s">
        <v>69</v>
      </c>
      <c r="IT2" t="s">
        <v>71</v>
      </c>
      <c r="IU2" t="s">
        <v>69</v>
      </c>
      <c r="IV2">
        <v>89.093999999999994</v>
      </c>
      <c r="IW2" t="s">
        <v>69</v>
      </c>
      <c r="IX2" t="s">
        <v>69</v>
      </c>
      <c r="IY2">
        <v>591</v>
      </c>
      <c r="IZ2" t="s">
        <v>73</v>
      </c>
      <c r="JA2" t="s">
        <v>69</v>
      </c>
      <c r="JB2" t="s">
        <v>71</v>
      </c>
      <c r="JC2" t="s">
        <v>69</v>
      </c>
      <c r="JD2">
        <v>89.093999999999994</v>
      </c>
      <c r="JE2" t="s">
        <v>69</v>
      </c>
      <c r="JF2" t="s">
        <v>69</v>
      </c>
      <c r="JG2">
        <v>598</v>
      </c>
      <c r="JH2" t="s">
        <v>73</v>
      </c>
      <c r="JI2" t="s">
        <v>69</v>
      </c>
      <c r="JJ2" t="s">
        <v>71</v>
      </c>
      <c r="JK2" t="s">
        <v>69</v>
      </c>
      <c r="JL2">
        <v>89.093999999999994</v>
      </c>
      <c r="JM2" t="s">
        <v>69</v>
      </c>
      <c r="JN2" t="s">
        <v>69</v>
      </c>
    </row>
    <row r="3" spans="1:274" x14ac:dyDescent="0.25">
      <c r="A3">
        <v>7</v>
      </c>
      <c r="B3" t="str">
        <f>HYPERLINK("http://www.ncbi.nlm.nih.gov/protein/XP_004036025.1","XP_004036025.1")</f>
        <v>XP_004036025.1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HYPERLINK("http://www.ncbi.nlm.nih.gov/protein/XP_004036025.1","mitochondrial import receptor subunit TOM70")</f>
        <v>mitochondrial import receptor subunit TOM70</v>
      </c>
      <c r="I3" t="s">
        <v>270</v>
      </c>
      <c r="J3" t="s">
        <v>69</v>
      </c>
      <c r="K3">
        <v>215</v>
      </c>
      <c r="L3" t="s">
        <v>145</v>
      </c>
      <c r="M3" t="s">
        <v>69</v>
      </c>
      <c r="N3" t="s">
        <v>71</v>
      </c>
      <c r="O3" t="s">
        <v>69</v>
      </c>
      <c r="P3">
        <v>131.17500000000001</v>
      </c>
      <c r="Q3" t="s">
        <v>69</v>
      </c>
      <c r="R3" t="s">
        <v>69</v>
      </c>
      <c r="S3">
        <v>256</v>
      </c>
      <c r="T3" t="s">
        <v>151</v>
      </c>
      <c r="U3" t="s">
        <v>69</v>
      </c>
      <c r="V3" t="s">
        <v>152</v>
      </c>
      <c r="W3" t="s">
        <v>69</v>
      </c>
      <c r="X3">
        <v>165.19200000000001</v>
      </c>
      <c r="Y3" t="s">
        <v>69</v>
      </c>
      <c r="Z3" t="s">
        <v>69</v>
      </c>
      <c r="AA3">
        <v>259</v>
      </c>
      <c r="AB3" t="s">
        <v>155</v>
      </c>
      <c r="AC3" t="s">
        <v>69</v>
      </c>
      <c r="AD3" t="s">
        <v>150</v>
      </c>
      <c r="AE3" t="s">
        <v>69</v>
      </c>
      <c r="AF3">
        <v>105.093</v>
      </c>
      <c r="AG3" t="s">
        <v>69</v>
      </c>
      <c r="AH3" t="s">
        <v>69</v>
      </c>
      <c r="AI3">
        <v>260</v>
      </c>
      <c r="AJ3" t="s">
        <v>69</v>
      </c>
      <c r="AK3" t="s">
        <v>69</v>
      </c>
      <c r="AL3" t="s">
        <v>152</v>
      </c>
      <c r="AM3" t="s">
        <v>69</v>
      </c>
      <c r="AN3">
        <v>181.191</v>
      </c>
      <c r="AO3" t="s">
        <v>69</v>
      </c>
      <c r="AP3" t="s">
        <v>69</v>
      </c>
      <c r="AQ3">
        <v>340</v>
      </c>
      <c r="AR3" t="s">
        <v>72</v>
      </c>
      <c r="AS3" t="s">
        <v>69</v>
      </c>
      <c r="AT3" t="s">
        <v>71</v>
      </c>
      <c r="AU3" t="s">
        <v>69</v>
      </c>
      <c r="AV3">
        <v>131.17500000000001</v>
      </c>
      <c r="AW3" t="s">
        <v>69</v>
      </c>
      <c r="AX3" t="s">
        <v>69</v>
      </c>
      <c r="AY3">
        <v>341</v>
      </c>
      <c r="AZ3" t="s">
        <v>72</v>
      </c>
      <c r="BA3" t="s">
        <v>69</v>
      </c>
      <c r="BB3" t="s">
        <v>71</v>
      </c>
      <c r="BC3" t="s">
        <v>69</v>
      </c>
      <c r="BD3">
        <v>131.17500000000001</v>
      </c>
      <c r="BE3" t="s">
        <v>69</v>
      </c>
      <c r="BF3" t="s">
        <v>69</v>
      </c>
      <c r="BG3">
        <v>375</v>
      </c>
      <c r="BH3" t="s">
        <v>155</v>
      </c>
      <c r="BI3" t="s">
        <v>69</v>
      </c>
      <c r="BJ3" t="s">
        <v>150</v>
      </c>
      <c r="BK3" t="s">
        <v>69</v>
      </c>
      <c r="BL3">
        <v>105.093</v>
      </c>
      <c r="BM3" t="s">
        <v>69</v>
      </c>
      <c r="BN3" t="s">
        <v>69</v>
      </c>
      <c r="BO3">
        <v>378</v>
      </c>
      <c r="BP3" t="s">
        <v>116</v>
      </c>
      <c r="BQ3" t="s">
        <v>69</v>
      </c>
      <c r="BR3" t="s">
        <v>117</v>
      </c>
      <c r="BS3" t="s">
        <v>69</v>
      </c>
      <c r="BT3">
        <v>149.208</v>
      </c>
      <c r="BU3" t="s">
        <v>69</v>
      </c>
      <c r="BV3" t="s">
        <v>69</v>
      </c>
      <c r="BW3">
        <v>409</v>
      </c>
      <c r="BX3" t="s">
        <v>147</v>
      </c>
      <c r="BY3" t="s">
        <v>69</v>
      </c>
      <c r="BZ3" t="s">
        <v>148</v>
      </c>
      <c r="CA3" t="s">
        <v>69</v>
      </c>
      <c r="CB3">
        <v>146.14599999999999</v>
      </c>
      <c r="CC3" t="s">
        <v>69</v>
      </c>
      <c r="CD3" t="s">
        <v>69</v>
      </c>
      <c r="CE3">
        <v>410</v>
      </c>
      <c r="CF3" t="s">
        <v>72</v>
      </c>
      <c r="CG3" t="s">
        <v>69</v>
      </c>
      <c r="CH3" t="s">
        <v>71</v>
      </c>
      <c r="CI3" t="s">
        <v>69</v>
      </c>
      <c r="CJ3">
        <v>131.17500000000001</v>
      </c>
      <c r="CK3" t="s">
        <v>69</v>
      </c>
      <c r="CL3" t="s">
        <v>69</v>
      </c>
      <c r="CM3">
        <v>412</v>
      </c>
      <c r="CN3" t="s">
        <v>145</v>
      </c>
      <c r="CO3" t="s">
        <v>69</v>
      </c>
      <c r="CP3" t="s">
        <v>71</v>
      </c>
      <c r="CQ3" t="s">
        <v>69</v>
      </c>
      <c r="CR3">
        <v>131.17500000000001</v>
      </c>
      <c r="CS3" t="s">
        <v>69</v>
      </c>
      <c r="CT3" t="s">
        <v>69</v>
      </c>
      <c r="CU3">
        <v>414</v>
      </c>
      <c r="CV3" t="s">
        <v>72</v>
      </c>
      <c r="CW3" t="s">
        <v>69</v>
      </c>
      <c r="CX3" t="s">
        <v>71</v>
      </c>
      <c r="CY3" t="s">
        <v>69</v>
      </c>
      <c r="CZ3">
        <v>131.17500000000001</v>
      </c>
      <c r="DA3" t="s">
        <v>69</v>
      </c>
      <c r="DB3" t="s">
        <v>69</v>
      </c>
      <c r="DC3">
        <v>443</v>
      </c>
      <c r="DD3" t="s">
        <v>151</v>
      </c>
      <c r="DE3" t="s">
        <v>69</v>
      </c>
      <c r="DF3" t="s">
        <v>152</v>
      </c>
      <c r="DG3" t="s">
        <v>69</v>
      </c>
      <c r="DH3">
        <v>165.19200000000001</v>
      </c>
      <c r="DI3" t="s">
        <v>69</v>
      </c>
      <c r="DJ3" t="s">
        <v>69</v>
      </c>
      <c r="DK3">
        <v>480</v>
      </c>
      <c r="DL3" t="s">
        <v>73</v>
      </c>
      <c r="DM3" t="s">
        <v>69</v>
      </c>
      <c r="DN3" t="s">
        <v>71</v>
      </c>
      <c r="DO3" t="s">
        <v>69</v>
      </c>
      <c r="DP3">
        <v>89.093999999999994</v>
      </c>
      <c r="DQ3" t="s">
        <v>69</v>
      </c>
      <c r="DR3" t="s">
        <v>69</v>
      </c>
      <c r="DS3">
        <v>481</v>
      </c>
      <c r="DT3" t="s">
        <v>72</v>
      </c>
      <c r="DU3" t="s">
        <v>69</v>
      </c>
      <c r="DV3" t="s">
        <v>71</v>
      </c>
      <c r="DW3" t="s">
        <v>69</v>
      </c>
      <c r="DX3">
        <v>131.17500000000001</v>
      </c>
      <c r="DY3" t="s">
        <v>69</v>
      </c>
      <c r="DZ3" t="s">
        <v>69</v>
      </c>
      <c r="EA3">
        <v>511</v>
      </c>
      <c r="EB3" t="s">
        <v>149</v>
      </c>
      <c r="EC3" t="s">
        <v>69</v>
      </c>
      <c r="ED3" t="s">
        <v>150</v>
      </c>
      <c r="EE3" t="s">
        <v>69</v>
      </c>
      <c r="EF3">
        <v>119.119</v>
      </c>
      <c r="EG3" t="s">
        <v>69</v>
      </c>
      <c r="EH3" t="s">
        <v>69</v>
      </c>
      <c r="EI3">
        <v>515</v>
      </c>
      <c r="EJ3" t="s">
        <v>157</v>
      </c>
      <c r="EK3" t="s">
        <v>69</v>
      </c>
      <c r="EL3" t="s">
        <v>75</v>
      </c>
      <c r="EM3" t="s">
        <v>69</v>
      </c>
      <c r="EN3">
        <v>155.15600000000001</v>
      </c>
      <c r="EO3" t="s">
        <v>69</v>
      </c>
      <c r="EP3" t="s">
        <v>69</v>
      </c>
      <c r="EQ3">
        <v>518</v>
      </c>
      <c r="ER3" t="s">
        <v>72</v>
      </c>
      <c r="ES3" t="s">
        <v>69</v>
      </c>
      <c r="ET3" t="s">
        <v>71</v>
      </c>
      <c r="EU3" t="s">
        <v>69</v>
      </c>
      <c r="EV3">
        <v>131.17500000000001</v>
      </c>
      <c r="EW3" t="s">
        <v>69</v>
      </c>
      <c r="EX3" t="s">
        <v>69</v>
      </c>
      <c r="EY3">
        <v>521</v>
      </c>
      <c r="EZ3" t="s">
        <v>72</v>
      </c>
      <c r="FA3" t="s">
        <v>69</v>
      </c>
      <c r="FB3" t="s">
        <v>71</v>
      </c>
      <c r="FC3" t="s">
        <v>69</v>
      </c>
      <c r="FD3">
        <v>131.17500000000001</v>
      </c>
      <c r="FE3" t="s">
        <v>69</v>
      </c>
      <c r="FF3" t="s">
        <v>69</v>
      </c>
      <c r="FG3">
        <v>522</v>
      </c>
      <c r="FH3" t="s">
        <v>147</v>
      </c>
      <c r="FI3" t="s">
        <v>69</v>
      </c>
      <c r="FJ3" t="s">
        <v>148</v>
      </c>
      <c r="FK3" t="s">
        <v>69</v>
      </c>
      <c r="FL3">
        <v>146.14599999999999</v>
      </c>
      <c r="FM3" t="s">
        <v>69</v>
      </c>
      <c r="FN3" t="s">
        <v>69</v>
      </c>
      <c r="FO3">
        <v>546</v>
      </c>
      <c r="FP3" t="s">
        <v>151</v>
      </c>
      <c r="FQ3" t="s">
        <v>69</v>
      </c>
      <c r="FR3" t="s">
        <v>152</v>
      </c>
      <c r="FS3" t="s">
        <v>69</v>
      </c>
      <c r="FT3">
        <v>165.19200000000001</v>
      </c>
      <c r="FU3" t="s">
        <v>69</v>
      </c>
      <c r="FV3" t="s">
        <v>69</v>
      </c>
      <c r="FW3">
        <v>549</v>
      </c>
      <c r="FX3" t="s">
        <v>119</v>
      </c>
      <c r="FY3" t="s">
        <v>69</v>
      </c>
      <c r="FZ3" t="s">
        <v>120</v>
      </c>
      <c r="GA3" t="s">
        <v>69</v>
      </c>
      <c r="GB3">
        <v>147.131</v>
      </c>
      <c r="GC3" t="s">
        <v>69</v>
      </c>
      <c r="GD3" t="s">
        <v>69</v>
      </c>
      <c r="GE3">
        <v>550</v>
      </c>
      <c r="GF3" t="s">
        <v>149</v>
      </c>
      <c r="GG3" t="s">
        <v>69</v>
      </c>
      <c r="GH3" t="s">
        <v>150</v>
      </c>
      <c r="GI3" t="s">
        <v>69</v>
      </c>
      <c r="GJ3">
        <v>119.119</v>
      </c>
      <c r="GK3" t="s">
        <v>69</v>
      </c>
      <c r="GL3" t="s">
        <v>69</v>
      </c>
      <c r="GM3">
        <v>553</v>
      </c>
      <c r="GN3" t="s">
        <v>149</v>
      </c>
      <c r="GO3" t="s">
        <v>69</v>
      </c>
      <c r="GP3" t="s">
        <v>150</v>
      </c>
      <c r="GQ3" t="s">
        <v>69</v>
      </c>
      <c r="GR3">
        <v>119.119</v>
      </c>
      <c r="GS3" t="s">
        <v>69</v>
      </c>
      <c r="GT3" t="s">
        <v>69</v>
      </c>
      <c r="GU3">
        <v>557</v>
      </c>
      <c r="GV3" t="s">
        <v>147</v>
      </c>
      <c r="GW3" t="s">
        <v>69</v>
      </c>
      <c r="GX3" t="s">
        <v>148</v>
      </c>
      <c r="GY3" t="s">
        <v>69</v>
      </c>
      <c r="GZ3">
        <v>146.14599999999999</v>
      </c>
      <c r="HA3" t="s">
        <v>69</v>
      </c>
      <c r="HB3" t="s">
        <v>69</v>
      </c>
      <c r="HC3">
        <v>559</v>
      </c>
      <c r="HD3" t="s">
        <v>70</v>
      </c>
      <c r="HE3" t="s">
        <v>69</v>
      </c>
      <c r="HF3" t="s">
        <v>71</v>
      </c>
      <c r="HG3" t="s">
        <v>69</v>
      </c>
      <c r="HH3">
        <v>75.066999999999993</v>
      </c>
      <c r="HI3" t="s">
        <v>69</v>
      </c>
      <c r="HJ3" t="s">
        <v>69</v>
      </c>
      <c r="HK3">
        <v>561</v>
      </c>
      <c r="HL3" t="s">
        <v>116</v>
      </c>
      <c r="HM3" t="s">
        <v>69</v>
      </c>
      <c r="HN3" t="s">
        <v>117</v>
      </c>
      <c r="HO3" t="s">
        <v>69</v>
      </c>
      <c r="HP3">
        <v>149.208</v>
      </c>
      <c r="HQ3" t="s">
        <v>69</v>
      </c>
      <c r="HR3" t="s">
        <v>69</v>
      </c>
      <c r="HS3">
        <v>579</v>
      </c>
      <c r="HT3" t="s">
        <v>116</v>
      </c>
      <c r="HU3" t="s">
        <v>69</v>
      </c>
      <c r="HV3" t="s">
        <v>117</v>
      </c>
      <c r="HW3" t="s">
        <v>69</v>
      </c>
      <c r="HX3">
        <v>149.208</v>
      </c>
      <c r="HY3" t="s">
        <v>69</v>
      </c>
      <c r="HZ3" t="s">
        <v>69</v>
      </c>
      <c r="IA3">
        <v>583</v>
      </c>
      <c r="IB3" t="s">
        <v>157</v>
      </c>
      <c r="IC3" t="s">
        <v>69</v>
      </c>
      <c r="ID3" t="s">
        <v>75</v>
      </c>
      <c r="IE3" t="s">
        <v>69</v>
      </c>
      <c r="IF3">
        <v>155.15600000000001</v>
      </c>
      <c r="IG3" t="s">
        <v>69</v>
      </c>
      <c r="IH3" t="s">
        <v>69</v>
      </c>
      <c r="II3">
        <v>587</v>
      </c>
      <c r="IJ3" t="s">
        <v>72</v>
      </c>
      <c r="IK3" t="s">
        <v>69</v>
      </c>
      <c r="IL3" t="s">
        <v>71</v>
      </c>
      <c r="IM3" t="s">
        <v>69</v>
      </c>
      <c r="IN3">
        <v>131.17500000000001</v>
      </c>
      <c r="IO3" t="s">
        <v>69</v>
      </c>
      <c r="IP3" t="s">
        <v>69</v>
      </c>
      <c r="IQ3">
        <v>590</v>
      </c>
      <c r="IR3" t="s">
        <v>73</v>
      </c>
      <c r="IS3" t="s">
        <v>69</v>
      </c>
      <c r="IT3" t="s">
        <v>71</v>
      </c>
      <c r="IU3" t="s">
        <v>69</v>
      </c>
      <c r="IV3">
        <v>89.093999999999994</v>
      </c>
      <c r="IW3" t="s">
        <v>69</v>
      </c>
      <c r="IX3" t="s">
        <v>69</v>
      </c>
      <c r="IY3">
        <v>591</v>
      </c>
      <c r="IZ3" t="s">
        <v>73</v>
      </c>
      <c r="JA3" t="s">
        <v>69</v>
      </c>
      <c r="JB3" t="s">
        <v>71</v>
      </c>
      <c r="JC3" t="s">
        <v>69</v>
      </c>
      <c r="JD3">
        <v>89.093999999999994</v>
      </c>
      <c r="JE3" t="s">
        <v>69</v>
      </c>
      <c r="JF3" t="s">
        <v>69</v>
      </c>
      <c r="JG3">
        <v>598</v>
      </c>
      <c r="JH3" t="s">
        <v>73</v>
      </c>
      <c r="JI3" t="s">
        <v>69</v>
      </c>
      <c r="JJ3" t="s">
        <v>71</v>
      </c>
      <c r="JK3" t="s">
        <v>69</v>
      </c>
      <c r="JL3">
        <v>89.093999999999994</v>
      </c>
      <c r="JM3" t="s">
        <v>69</v>
      </c>
      <c r="JN3" t="s">
        <v>69</v>
      </c>
    </row>
    <row r="4" spans="1:274" x14ac:dyDescent="0.25">
      <c r="A4">
        <v>7</v>
      </c>
      <c r="B4" t="str">
        <f>HYPERLINK("http://www.ncbi.nlm.nih.gov/protein/XP_007984244.1","XP_007984244.1")</f>
        <v>XP_007984244.1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HYPERLINK("http://www.ncbi.nlm.nih.gov/protein/XP_007984244.1","mitochondrial import receptor subunit TOM70")</f>
        <v>mitochondrial import receptor subunit TOM70</v>
      </c>
      <c r="I4" t="s">
        <v>270</v>
      </c>
      <c r="J4" t="s">
        <v>69</v>
      </c>
      <c r="K4">
        <v>215</v>
      </c>
      <c r="L4" t="s">
        <v>145</v>
      </c>
      <c r="M4" t="s">
        <v>69</v>
      </c>
      <c r="N4" t="s">
        <v>71</v>
      </c>
      <c r="O4" t="s">
        <v>69</v>
      </c>
      <c r="P4">
        <v>131.17500000000001</v>
      </c>
      <c r="Q4" t="s">
        <v>69</v>
      </c>
      <c r="R4" t="s">
        <v>69</v>
      </c>
      <c r="S4">
        <v>256</v>
      </c>
      <c r="T4" t="s">
        <v>151</v>
      </c>
      <c r="U4" t="s">
        <v>69</v>
      </c>
      <c r="V4" t="s">
        <v>152</v>
      </c>
      <c r="W4" t="s">
        <v>69</v>
      </c>
      <c r="X4">
        <v>165.19200000000001</v>
      </c>
      <c r="Y4" t="s">
        <v>69</v>
      </c>
      <c r="Z4" t="s">
        <v>69</v>
      </c>
      <c r="AA4">
        <v>259</v>
      </c>
      <c r="AB4" t="s">
        <v>155</v>
      </c>
      <c r="AC4" t="s">
        <v>69</v>
      </c>
      <c r="AD4" t="s">
        <v>150</v>
      </c>
      <c r="AE4" t="s">
        <v>69</v>
      </c>
      <c r="AF4">
        <v>105.093</v>
      </c>
      <c r="AG4" t="s">
        <v>69</v>
      </c>
      <c r="AH4" t="s">
        <v>69</v>
      </c>
      <c r="AI4">
        <v>260</v>
      </c>
      <c r="AJ4" t="s">
        <v>69</v>
      </c>
      <c r="AK4" t="s">
        <v>69</v>
      </c>
      <c r="AL4" t="s">
        <v>152</v>
      </c>
      <c r="AM4" t="s">
        <v>69</v>
      </c>
      <c r="AN4">
        <v>181.191</v>
      </c>
      <c r="AO4" t="s">
        <v>69</v>
      </c>
      <c r="AP4" t="s">
        <v>69</v>
      </c>
      <c r="AQ4">
        <v>340</v>
      </c>
      <c r="AR4" t="s">
        <v>72</v>
      </c>
      <c r="AS4" t="s">
        <v>69</v>
      </c>
      <c r="AT4" t="s">
        <v>71</v>
      </c>
      <c r="AU4" t="s">
        <v>69</v>
      </c>
      <c r="AV4">
        <v>131.17500000000001</v>
      </c>
      <c r="AW4" t="s">
        <v>69</v>
      </c>
      <c r="AX4" t="s">
        <v>69</v>
      </c>
      <c r="AY4">
        <v>341</v>
      </c>
      <c r="AZ4" t="s">
        <v>72</v>
      </c>
      <c r="BA4" t="s">
        <v>69</v>
      </c>
      <c r="BB4" t="s">
        <v>71</v>
      </c>
      <c r="BC4" t="s">
        <v>69</v>
      </c>
      <c r="BD4">
        <v>131.17500000000001</v>
      </c>
      <c r="BE4" t="s">
        <v>69</v>
      </c>
      <c r="BF4" t="s">
        <v>69</v>
      </c>
      <c r="BG4">
        <v>375</v>
      </c>
      <c r="BH4" t="s">
        <v>155</v>
      </c>
      <c r="BI4" t="s">
        <v>69</v>
      </c>
      <c r="BJ4" t="s">
        <v>150</v>
      </c>
      <c r="BK4" t="s">
        <v>69</v>
      </c>
      <c r="BL4">
        <v>105.093</v>
      </c>
      <c r="BM4" t="s">
        <v>69</v>
      </c>
      <c r="BN4" t="s">
        <v>69</v>
      </c>
      <c r="BO4">
        <v>378</v>
      </c>
      <c r="BP4" t="s">
        <v>116</v>
      </c>
      <c r="BQ4" t="s">
        <v>69</v>
      </c>
      <c r="BR4" t="s">
        <v>117</v>
      </c>
      <c r="BS4" t="s">
        <v>69</v>
      </c>
      <c r="BT4">
        <v>149.208</v>
      </c>
      <c r="BU4" t="s">
        <v>69</v>
      </c>
      <c r="BV4" t="s">
        <v>69</v>
      </c>
      <c r="BW4">
        <v>409</v>
      </c>
      <c r="BX4" t="s">
        <v>147</v>
      </c>
      <c r="BY4" t="s">
        <v>69</v>
      </c>
      <c r="BZ4" t="s">
        <v>148</v>
      </c>
      <c r="CA4" t="s">
        <v>69</v>
      </c>
      <c r="CB4">
        <v>146.14599999999999</v>
      </c>
      <c r="CC4" t="s">
        <v>69</v>
      </c>
      <c r="CD4" t="s">
        <v>69</v>
      </c>
      <c r="CE4">
        <v>410</v>
      </c>
      <c r="CF4" t="s">
        <v>72</v>
      </c>
      <c r="CG4" t="s">
        <v>69</v>
      </c>
      <c r="CH4" t="s">
        <v>71</v>
      </c>
      <c r="CI4" t="s">
        <v>69</v>
      </c>
      <c r="CJ4">
        <v>131.17500000000001</v>
      </c>
      <c r="CK4" t="s">
        <v>69</v>
      </c>
      <c r="CL4" t="s">
        <v>69</v>
      </c>
      <c r="CM4">
        <v>412</v>
      </c>
      <c r="CN4" t="s">
        <v>145</v>
      </c>
      <c r="CO4" t="s">
        <v>69</v>
      </c>
      <c r="CP4" t="s">
        <v>71</v>
      </c>
      <c r="CQ4" t="s">
        <v>69</v>
      </c>
      <c r="CR4">
        <v>131.17500000000001</v>
      </c>
      <c r="CS4" t="s">
        <v>69</v>
      </c>
      <c r="CT4" t="s">
        <v>69</v>
      </c>
      <c r="CU4">
        <v>414</v>
      </c>
      <c r="CV4" t="s">
        <v>72</v>
      </c>
      <c r="CW4" t="s">
        <v>69</v>
      </c>
      <c r="CX4" t="s">
        <v>71</v>
      </c>
      <c r="CY4" t="s">
        <v>69</v>
      </c>
      <c r="CZ4">
        <v>131.17500000000001</v>
      </c>
      <c r="DA4" t="s">
        <v>69</v>
      </c>
      <c r="DB4" t="s">
        <v>69</v>
      </c>
      <c r="DC4">
        <v>443</v>
      </c>
      <c r="DD4" t="s">
        <v>151</v>
      </c>
      <c r="DE4" t="s">
        <v>69</v>
      </c>
      <c r="DF4" t="s">
        <v>152</v>
      </c>
      <c r="DG4" t="s">
        <v>69</v>
      </c>
      <c r="DH4">
        <v>165.19200000000001</v>
      </c>
      <c r="DI4" t="s">
        <v>69</v>
      </c>
      <c r="DJ4" t="s">
        <v>69</v>
      </c>
      <c r="DK4">
        <v>480</v>
      </c>
      <c r="DL4" t="s">
        <v>73</v>
      </c>
      <c r="DM4" t="s">
        <v>69</v>
      </c>
      <c r="DN4" t="s">
        <v>71</v>
      </c>
      <c r="DO4" t="s">
        <v>69</v>
      </c>
      <c r="DP4">
        <v>89.093999999999994</v>
      </c>
      <c r="DQ4" t="s">
        <v>69</v>
      </c>
      <c r="DR4" t="s">
        <v>69</v>
      </c>
      <c r="DS4">
        <v>481</v>
      </c>
      <c r="DT4" t="s">
        <v>72</v>
      </c>
      <c r="DU4" t="s">
        <v>69</v>
      </c>
      <c r="DV4" t="s">
        <v>71</v>
      </c>
      <c r="DW4" t="s">
        <v>69</v>
      </c>
      <c r="DX4">
        <v>131.17500000000001</v>
      </c>
      <c r="DY4" t="s">
        <v>69</v>
      </c>
      <c r="DZ4" t="s">
        <v>69</v>
      </c>
      <c r="EA4">
        <v>511</v>
      </c>
      <c r="EB4" t="s">
        <v>149</v>
      </c>
      <c r="EC4" t="s">
        <v>69</v>
      </c>
      <c r="ED4" t="s">
        <v>150</v>
      </c>
      <c r="EE4" t="s">
        <v>69</v>
      </c>
      <c r="EF4">
        <v>119.119</v>
      </c>
      <c r="EG4" t="s">
        <v>69</v>
      </c>
      <c r="EH4" t="s">
        <v>69</v>
      </c>
      <c r="EI4">
        <v>515</v>
      </c>
      <c r="EJ4" t="s">
        <v>157</v>
      </c>
      <c r="EK4" t="s">
        <v>69</v>
      </c>
      <c r="EL4" t="s">
        <v>75</v>
      </c>
      <c r="EM4" t="s">
        <v>69</v>
      </c>
      <c r="EN4">
        <v>155.15600000000001</v>
      </c>
      <c r="EO4" t="s">
        <v>69</v>
      </c>
      <c r="EP4" t="s">
        <v>69</v>
      </c>
      <c r="EQ4">
        <v>518</v>
      </c>
      <c r="ER4" t="s">
        <v>72</v>
      </c>
      <c r="ES4" t="s">
        <v>69</v>
      </c>
      <c r="ET4" t="s">
        <v>71</v>
      </c>
      <c r="EU4" t="s">
        <v>69</v>
      </c>
      <c r="EV4">
        <v>131.17500000000001</v>
      </c>
      <c r="EW4" t="s">
        <v>69</v>
      </c>
      <c r="EX4" t="s">
        <v>69</v>
      </c>
      <c r="EY4">
        <v>521</v>
      </c>
      <c r="EZ4" t="s">
        <v>72</v>
      </c>
      <c r="FA4" t="s">
        <v>69</v>
      </c>
      <c r="FB4" t="s">
        <v>71</v>
      </c>
      <c r="FC4" t="s">
        <v>69</v>
      </c>
      <c r="FD4">
        <v>131.17500000000001</v>
      </c>
      <c r="FE4" t="s">
        <v>69</v>
      </c>
      <c r="FF4" t="s">
        <v>69</v>
      </c>
      <c r="FG4">
        <v>522</v>
      </c>
      <c r="FH4" t="s">
        <v>147</v>
      </c>
      <c r="FI4" t="s">
        <v>69</v>
      </c>
      <c r="FJ4" t="s">
        <v>148</v>
      </c>
      <c r="FK4" t="s">
        <v>69</v>
      </c>
      <c r="FL4">
        <v>146.14599999999999</v>
      </c>
      <c r="FM4" t="s">
        <v>69</v>
      </c>
      <c r="FN4" t="s">
        <v>69</v>
      </c>
      <c r="FO4">
        <v>546</v>
      </c>
      <c r="FP4" t="s">
        <v>151</v>
      </c>
      <c r="FQ4" t="s">
        <v>69</v>
      </c>
      <c r="FR4" t="s">
        <v>152</v>
      </c>
      <c r="FS4" t="s">
        <v>69</v>
      </c>
      <c r="FT4">
        <v>165.19200000000001</v>
      </c>
      <c r="FU4" t="s">
        <v>69</v>
      </c>
      <c r="FV4" t="s">
        <v>69</v>
      </c>
      <c r="FW4">
        <v>549</v>
      </c>
      <c r="FX4" t="s">
        <v>119</v>
      </c>
      <c r="FY4" t="s">
        <v>69</v>
      </c>
      <c r="FZ4" t="s">
        <v>120</v>
      </c>
      <c r="GA4" t="s">
        <v>69</v>
      </c>
      <c r="GB4">
        <v>147.131</v>
      </c>
      <c r="GC4" t="s">
        <v>69</v>
      </c>
      <c r="GD4" t="s">
        <v>69</v>
      </c>
      <c r="GE4">
        <v>550</v>
      </c>
      <c r="GF4" t="s">
        <v>149</v>
      </c>
      <c r="GG4" t="s">
        <v>69</v>
      </c>
      <c r="GH4" t="s">
        <v>150</v>
      </c>
      <c r="GI4" t="s">
        <v>69</v>
      </c>
      <c r="GJ4">
        <v>119.119</v>
      </c>
      <c r="GK4" t="s">
        <v>69</v>
      </c>
      <c r="GL4" t="s">
        <v>69</v>
      </c>
      <c r="GM4">
        <v>553</v>
      </c>
      <c r="GN4" t="s">
        <v>149</v>
      </c>
      <c r="GO4" t="s">
        <v>69</v>
      </c>
      <c r="GP4" t="s">
        <v>150</v>
      </c>
      <c r="GQ4" t="s">
        <v>69</v>
      </c>
      <c r="GR4">
        <v>119.119</v>
      </c>
      <c r="GS4" t="s">
        <v>69</v>
      </c>
      <c r="GT4" t="s">
        <v>69</v>
      </c>
      <c r="GU4">
        <v>557</v>
      </c>
      <c r="GV4" t="s">
        <v>147</v>
      </c>
      <c r="GW4" t="s">
        <v>69</v>
      </c>
      <c r="GX4" t="s">
        <v>148</v>
      </c>
      <c r="GY4" t="s">
        <v>69</v>
      </c>
      <c r="GZ4">
        <v>146.14599999999999</v>
      </c>
      <c r="HA4" t="s">
        <v>69</v>
      </c>
      <c r="HB4" t="s">
        <v>69</v>
      </c>
      <c r="HC4">
        <v>559</v>
      </c>
      <c r="HD4" t="s">
        <v>70</v>
      </c>
      <c r="HE4" t="s">
        <v>69</v>
      </c>
      <c r="HF4" t="s">
        <v>71</v>
      </c>
      <c r="HG4" t="s">
        <v>69</v>
      </c>
      <c r="HH4">
        <v>75.066999999999993</v>
      </c>
      <c r="HI4" t="s">
        <v>69</v>
      </c>
      <c r="HJ4" t="s">
        <v>69</v>
      </c>
      <c r="HK4">
        <v>561</v>
      </c>
      <c r="HL4" t="s">
        <v>116</v>
      </c>
      <c r="HM4" t="s">
        <v>69</v>
      </c>
      <c r="HN4" t="s">
        <v>117</v>
      </c>
      <c r="HO4" t="s">
        <v>69</v>
      </c>
      <c r="HP4">
        <v>149.208</v>
      </c>
      <c r="HQ4" t="s">
        <v>69</v>
      </c>
      <c r="HR4" t="s">
        <v>69</v>
      </c>
      <c r="HS4">
        <v>579</v>
      </c>
      <c r="HT4" t="s">
        <v>116</v>
      </c>
      <c r="HU4" t="s">
        <v>69</v>
      </c>
      <c r="HV4" t="s">
        <v>117</v>
      </c>
      <c r="HW4" t="s">
        <v>69</v>
      </c>
      <c r="HX4">
        <v>149.208</v>
      </c>
      <c r="HY4" t="s">
        <v>69</v>
      </c>
      <c r="HZ4" t="s">
        <v>69</v>
      </c>
      <c r="IA4">
        <v>583</v>
      </c>
      <c r="IB4" t="s">
        <v>157</v>
      </c>
      <c r="IC4" t="s">
        <v>69</v>
      </c>
      <c r="ID4" t="s">
        <v>75</v>
      </c>
      <c r="IE4" t="s">
        <v>69</v>
      </c>
      <c r="IF4">
        <v>155.15600000000001</v>
      </c>
      <c r="IG4" t="s">
        <v>69</v>
      </c>
      <c r="IH4" t="s">
        <v>69</v>
      </c>
      <c r="II4">
        <v>587</v>
      </c>
      <c r="IJ4" t="s">
        <v>72</v>
      </c>
      <c r="IK4" t="s">
        <v>69</v>
      </c>
      <c r="IL4" t="s">
        <v>71</v>
      </c>
      <c r="IM4" t="s">
        <v>69</v>
      </c>
      <c r="IN4">
        <v>131.17500000000001</v>
      </c>
      <c r="IO4" t="s">
        <v>69</v>
      </c>
      <c r="IP4" t="s">
        <v>69</v>
      </c>
      <c r="IQ4">
        <v>590</v>
      </c>
      <c r="IR4" t="s">
        <v>73</v>
      </c>
      <c r="IS4" t="s">
        <v>69</v>
      </c>
      <c r="IT4" t="s">
        <v>71</v>
      </c>
      <c r="IU4" t="s">
        <v>69</v>
      </c>
      <c r="IV4">
        <v>89.093999999999994</v>
      </c>
      <c r="IW4" t="s">
        <v>69</v>
      </c>
      <c r="IX4" t="s">
        <v>69</v>
      </c>
      <c r="IY4">
        <v>591</v>
      </c>
      <c r="IZ4" t="s">
        <v>73</v>
      </c>
      <c r="JA4" t="s">
        <v>69</v>
      </c>
      <c r="JB4" t="s">
        <v>71</v>
      </c>
      <c r="JC4" t="s">
        <v>69</v>
      </c>
      <c r="JD4">
        <v>89.093999999999994</v>
      </c>
      <c r="JE4" t="s">
        <v>69</v>
      </c>
      <c r="JF4" t="s">
        <v>69</v>
      </c>
      <c r="JG4">
        <v>598</v>
      </c>
      <c r="JH4" t="s">
        <v>73</v>
      </c>
      <c r="JI4" t="s">
        <v>69</v>
      </c>
      <c r="JJ4" t="s">
        <v>71</v>
      </c>
      <c r="JK4" t="s">
        <v>69</v>
      </c>
      <c r="JL4">
        <v>89.093999999999994</v>
      </c>
      <c r="JM4" t="s">
        <v>69</v>
      </c>
      <c r="JN4" t="s">
        <v>69</v>
      </c>
    </row>
    <row r="5" spans="1:274" x14ac:dyDescent="0.25">
      <c r="A5">
        <v>7</v>
      </c>
      <c r="B5" t="str">
        <f>HYPERLINK("http://www.ncbi.nlm.nih.gov/protein/NP_001253082.1","NP_001253082.1")</f>
        <v>NP_001253082.1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HYPERLINK("http://www.ncbi.nlm.nih.gov/protein/NP_001253082.1","mitochondrial import receptor subunit TOM70")</f>
        <v>mitochondrial import receptor subunit TOM70</v>
      </c>
      <c r="I5" t="s">
        <v>270</v>
      </c>
      <c r="J5" t="s">
        <v>69</v>
      </c>
      <c r="K5">
        <v>215</v>
      </c>
      <c r="L5" t="s">
        <v>145</v>
      </c>
      <c r="M5" t="s">
        <v>69</v>
      </c>
      <c r="N5" t="s">
        <v>71</v>
      </c>
      <c r="O5" t="s">
        <v>69</v>
      </c>
      <c r="P5">
        <v>131.17500000000001</v>
      </c>
      <c r="Q5" t="s">
        <v>69</v>
      </c>
      <c r="R5" t="s">
        <v>69</v>
      </c>
      <c r="S5">
        <v>256</v>
      </c>
      <c r="T5" t="s">
        <v>151</v>
      </c>
      <c r="U5" t="s">
        <v>69</v>
      </c>
      <c r="V5" t="s">
        <v>152</v>
      </c>
      <c r="W5" t="s">
        <v>69</v>
      </c>
      <c r="X5">
        <v>165.19200000000001</v>
      </c>
      <c r="Y5" t="s">
        <v>69</v>
      </c>
      <c r="Z5" t="s">
        <v>69</v>
      </c>
      <c r="AA5">
        <v>259</v>
      </c>
      <c r="AB5" t="s">
        <v>155</v>
      </c>
      <c r="AC5" t="s">
        <v>69</v>
      </c>
      <c r="AD5" t="s">
        <v>150</v>
      </c>
      <c r="AE5" t="s">
        <v>69</v>
      </c>
      <c r="AF5">
        <v>105.093</v>
      </c>
      <c r="AG5" t="s">
        <v>69</v>
      </c>
      <c r="AH5" t="s">
        <v>69</v>
      </c>
      <c r="AI5">
        <v>260</v>
      </c>
      <c r="AJ5" t="s">
        <v>69</v>
      </c>
      <c r="AK5" t="s">
        <v>69</v>
      </c>
      <c r="AL5" t="s">
        <v>152</v>
      </c>
      <c r="AM5" t="s">
        <v>69</v>
      </c>
      <c r="AN5">
        <v>181.191</v>
      </c>
      <c r="AO5" t="s">
        <v>69</v>
      </c>
      <c r="AP5" t="s">
        <v>69</v>
      </c>
      <c r="AQ5">
        <v>340</v>
      </c>
      <c r="AR5" t="s">
        <v>72</v>
      </c>
      <c r="AS5" t="s">
        <v>69</v>
      </c>
      <c r="AT5" t="s">
        <v>71</v>
      </c>
      <c r="AU5" t="s">
        <v>69</v>
      </c>
      <c r="AV5">
        <v>131.17500000000001</v>
      </c>
      <c r="AW5" t="s">
        <v>69</v>
      </c>
      <c r="AX5" t="s">
        <v>69</v>
      </c>
      <c r="AY5">
        <v>341</v>
      </c>
      <c r="AZ5" t="s">
        <v>72</v>
      </c>
      <c r="BA5" t="s">
        <v>69</v>
      </c>
      <c r="BB5" t="s">
        <v>71</v>
      </c>
      <c r="BC5" t="s">
        <v>69</v>
      </c>
      <c r="BD5">
        <v>131.17500000000001</v>
      </c>
      <c r="BE5" t="s">
        <v>69</v>
      </c>
      <c r="BF5" t="s">
        <v>69</v>
      </c>
      <c r="BG5">
        <v>375</v>
      </c>
      <c r="BH5" t="s">
        <v>155</v>
      </c>
      <c r="BI5" t="s">
        <v>69</v>
      </c>
      <c r="BJ5" t="s">
        <v>150</v>
      </c>
      <c r="BK5" t="s">
        <v>69</v>
      </c>
      <c r="BL5">
        <v>105.093</v>
      </c>
      <c r="BM5" t="s">
        <v>69</v>
      </c>
      <c r="BN5" t="s">
        <v>69</v>
      </c>
      <c r="BO5">
        <v>378</v>
      </c>
      <c r="BP5" t="s">
        <v>116</v>
      </c>
      <c r="BQ5" t="s">
        <v>69</v>
      </c>
      <c r="BR5" t="s">
        <v>117</v>
      </c>
      <c r="BS5" t="s">
        <v>69</v>
      </c>
      <c r="BT5">
        <v>149.208</v>
      </c>
      <c r="BU5" t="s">
        <v>69</v>
      </c>
      <c r="BV5" t="s">
        <v>69</v>
      </c>
      <c r="BW5">
        <v>409</v>
      </c>
      <c r="BX5" t="s">
        <v>147</v>
      </c>
      <c r="BY5" t="s">
        <v>69</v>
      </c>
      <c r="BZ5" t="s">
        <v>148</v>
      </c>
      <c r="CA5" t="s">
        <v>69</v>
      </c>
      <c r="CB5">
        <v>146.14599999999999</v>
      </c>
      <c r="CC5" t="s">
        <v>69</v>
      </c>
      <c r="CD5" t="s">
        <v>69</v>
      </c>
      <c r="CE5">
        <v>410</v>
      </c>
      <c r="CF5" t="s">
        <v>72</v>
      </c>
      <c r="CG5" t="s">
        <v>69</v>
      </c>
      <c r="CH5" t="s">
        <v>71</v>
      </c>
      <c r="CI5" t="s">
        <v>69</v>
      </c>
      <c r="CJ5">
        <v>131.17500000000001</v>
      </c>
      <c r="CK5" t="s">
        <v>69</v>
      </c>
      <c r="CL5" t="s">
        <v>69</v>
      </c>
      <c r="CM5">
        <v>412</v>
      </c>
      <c r="CN5" t="s">
        <v>145</v>
      </c>
      <c r="CO5" t="s">
        <v>69</v>
      </c>
      <c r="CP5" t="s">
        <v>71</v>
      </c>
      <c r="CQ5" t="s">
        <v>69</v>
      </c>
      <c r="CR5">
        <v>131.17500000000001</v>
      </c>
      <c r="CS5" t="s">
        <v>69</v>
      </c>
      <c r="CT5" t="s">
        <v>69</v>
      </c>
      <c r="CU5">
        <v>414</v>
      </c>
      <c r="CV5" t="s">
        <v>72</v>
      </c>
      <c r="CW5" t="s">
        <v>69</v>
      </c>
      <c r="CX5" t="s">
        <v>71</v>
      </c>
      <c r="CY5" t="s">
        <v>69</v>
      </c>
      <c r="CZ5">
        <v>131.17500000000001</v>
      </c>
      <c r="DA5" t="s">
        <v>69</v>
      </c>
      <c r="DB5" t="s">
        <v>69</v>
      </c>
      <c r="DC5">
        <v>443</v>
      </c>
      <c r="DD5" t="s">
        <v>151</v>
      </c>
      <c r="DE5" t="s">
        <v>69</v>
      </c>
      <c r="DF5" t="s">
        <v>152</v>
      </c>
      <c r="DG5" t="s">
        <v>69</v>
      </c>
      <c r="DH5">
        <v>165.19200000000001</v>
      </c>
      <c r="DI5" t="s">
        <v>69</v>
      </c>
      <c r="DJ5" t="s">
        <v>69</v>
      </c>
      <c r="DK5">
        <v>480</v>
      </c>
      <c r="DL5" t="s">
        <v>73</v>
      </c>
      <c r="DM5" t="s">
        <v>69</v>
      </c>
      <c r="DN5" t="s">
        <v>71</v>
      </c>
      <c r="DO5" t="s">
        <v>69</v>
      </c>
      <c r="DP5">
        <v>89.093999999999994</v>
      </c>
      <c r="DQ5" t="s">
        <v>69</v>
      </c>
      <c r="DR5" t="s">
        <v>69</v>
      </c>
      <c r="DS5">
        <v>481</v>
      </c>
      <c r="DT5" t="s">
        <v>72</v>
      </c>
      <c r="DU5" t="s">
        <v>69</v>
      </c>
      <c r="DV5" t="s">
        <v>71</v>
      </c>
      <c r="DW5" t="s">
        <v>69</v>
      </c>
      <c r="DX5">
        <v>131.17500000000001</v>
      </c>
      <c r="DY5" t="s">
        <v>69</v>
      </c>
      <c r="DZ5" t="s">
        <v>69</v>
      </c>
      <c r="EA5">
        <v>511</v>
      </c>
      <c r="EB5" t="s">
        <v>149</v>
      </c>
      <c r="EC5" t="s">
        <v>69</v>
      </c>
      <c r="ED5" t="s">
        <v>150</v>
      </c>
      <c r="EE5" t="s">
        <v>69</v>
      </c>
      <c r="EF5">
        <v>119.119</v>
      </c>
      <c r="EG5" t="s">
        <v>69</v>
      </c>
      <c r="EH5" t="s">
        <v>69</v>
      </c>
      <c r="EI5">
        <v>515</v>
      </c>
      <c r="EJ5" t="s">
        <v>157</v>
      </c>
      <c r="EK5" t="s">
        <v>69</v>
      </c>
      <c r="EL5" t="s">
        <v>75</v>
      </c>
      <c r="EM5" t="s">
        <v>69</v>
      </c>
      <c r="EN5">
        <v>155.15600000000001</v>
      </c>
      <c r="EO5" t="s">
        <v>69</v>
      </c>
      <c r="EP5" t="s">
        <v>69</v>
      </c>
      <c r="EQ5">
        <v>518</v>
      </c>
      <c r="ER5" t="s">
        <v>72</v>
      </c>
      <c r="ES5" t="s">
        <v>69</v>
      </c>
      <c r="ET5" t="s">
        <v>71</v>
      </c>
      <c r="EU5" t="s">
        <v>69</v>
      </c>
      <c r="EV5">
        <v>131.17500000000001</v>
      </c>
      <c r="EW5" t="s">
        <v>69</v>
      </c>
      <c r="EX5" t="s">
        <v>69</v>
      </c>
      <c r="EY5">
        <v>521</v>
      </c>
      <c r="EZ5" t="s">
        <v>72</v>
      </c>
      <c r="FA5" t="s">
        <v>69</v>
      </c>
      <c r="FB5" t="s">
        <v>71</v>
      </c>
      <c r="FC5" t="s">
        <v>69</v>
      </c>
      <c r="FD5">
        <v>131.17500000000001</v>
      </c>
      <c r="FE5" t="s">
        <v>69</v>
      </c>
      <c r="FF5" t="s">
        <v>69</v>
      </c>
      <c r="FG5">
        <v>522</v>
      </c>
      <c r="FH5" t="s">
        <v>147</v>
      </c>
      <c r="FI5" t="s">
        <v>69</v>
      </c>
      <c r="FJ5" t="s">
        <v>148</v>
      </c>
      <c r="FK5" t="s">
        <v>69</v>
      </c>
      <c r="FL5">
        <v>146.14599999999999</v>
      </c>
      <c r="FM5" t="s">
        <v>69</v>
      </c>
      <c r="FN5" t="s">
        <v>69</v>
      </c>
      <c r="FO5">
        <v>546</v>
      </c>
      <c r="FP5" t="s">
        <v>151</v>
      </c>
      <c r="FQ5" t="s">
        <v>69</v>
      </c>
      <c r="FR5" t="s">
        <v>152</v>
      </c>
      <c r="FS5" t="s">
        <v>69</v>
      </c>
      <c r="FT5">
        <v>165.19200000000001</v>
      </c>
      <c r="FU5" t="s">
        <v>69</v>
      </c>
      <c r="FV5" t="s">
        <v>69</v>
      </c>
      <c r="FW5">
        <v>549</v>
      </c>
      <c r="FX5" t="s">
        <v>119</v>
      </c>
      <c r="FY5" t="s">
        <v>69</v>
      </c>
      <c r="FZ5" t="s">
        <v>120</v>
      </c>
      <c r="GA5" t="s">
        <v>69</v>
      </c>
      <c r="GB5">
        <v>147.131</v>
      </c>
      <c r="GC5" t="s">
        <v>69</v>
      </c>
      <c r="GD5" t="s">
        <v>69</v>
      </c>
      <c r="GE5">
        <v>550</v>
      </c>
      <c r="GF5" t="s">
        <v>149</v>
      </c>
      <c r="GG5" t="s">
        <v>69</v>
      </c>
      <c r="GH5" t="s">
        <v>150</v>
      </c>
      <c r="GI5" t="s">
        <v>69</v>
      </c>
      <c r="GJ5">
        <v>119.119</v>
      </c>
      <c r="GK5" t="s">
        <v>69</v>
      </c>
      <c r="GL5" t="s">
        <v>69</v>
      </c>
      <c r="GM5">
        <v>553</v>
      </c>
      <c r="GN5" t="s">
        <v>149</v>
      </c>
      <c r="GO5" t="s">
        <v>69</v>
      </c>
      <c r="GP5" t="s">
        <v>150</v>
      </c>
      <c r="GQ5" t="s">
        <v>69</v>
      </c>
      <c r="GR5">
        <v>119.119</v>
      </c>
      <c r="GS5" t="s">
        <v>69</v>
      </c>
      <c r="GT5" t="s">
        <v>69</v>
      </c>
      <c r="GU5">
        <v>557</v>
      </c>
      <c r="GV5" t="s">
        <v>147</v>
      </c>
      <c r="GW5" t="s">
        <v>69</v>
      </c>
      <c r="GX5" t="s">
        <v>148</v>
      </c>
      <c r="GY5" t="s">
        <v>69</v>
      </c>
      <c r="GZ5">
        <v>146.14599999999999</v>
      </c>
      <c r="HA5" t="s">
        <v>69</v>
      </c>
      <c r="HB5" t="s">
        <v>69</v>
      </c>
      <c r="HC5">
        <v>559</v>
      </c>
      <c r="HD5" t="s">
        <v>70</v>
      </c>
      <c r="HE5" t="s">
        <v>69</v>
      </c>
      <c r="HF5" t="s">
        <v>71</v>
      </c>
      <c r="HG5" t="s">
        <v>69</v>
      </c>
      <c r="HH5">
        <v>75.066999999999993</v>
      </c>
      <c r="HI5" t="s">
        <v>69</v>
      </c>
      <c r="HJ5" t="s">
        <v>69</v>
      </c>
      <c r="HK5">
        <v>561</v>
      </c>
      <c r="HL5" t="s">
        <v>116</v>
      </c>
      <c r="HM5" t="s">
        <v>69</v>
      </c>
      <c r="HN5" t="s">
        <v>117</v>
      </c>
      <c r="HO5" t="s">
        <v>69</v>
      </c>
      <c r="HP5">
        <v>149.208</v>
      </c>
      <c r="HQ5" t="s">
        <v>69</v>
      </c>
      <c r="HR5" t="s">
        <v>69</v>
      </c>
      <c r="HS5">
        <v>579</v>
      </c>
      <c r="HT5" t="s">
        <v>116</v>
      </c>
      <c r="HU5" t="s">
        <v>69</v>
      </c>
      <c r="HV5" t="s">
        <v>117</v>
      </c>
      <c r="HW5" t="s">
        <v>69</v>
      </c>
      <c r="HX5">
        <v>149.208</v>
      </c>
      <c r="HY5" t="s">
        <v>69</v>
      </c>
      <c r="HZ5" t="s">
        <v>69</v>
      </c>
      <c r="IA5">
        <v>583</v>
      </c>
      <c r="IB5" t="s">
        <v>157</v>
      </c>
      <c r="IC5" t="s">
        <v>69</v>
      </c>
      <c r="ID5" t="s">
        <v>75</v>
      </c>
      <c r="IE5" t="s">
        <v>69</v>
      </c>
      <c r="IF5">
        <v>155.15600000000001</v>
      </c>
      <c r="IG5" t="s">
        <v>69</v>
      </c>
      <c r="IH5" t="s">
        <v>69</v>
      </c>
      <c r="II5">
        <v>587</v>
      </c>
      <c r="IJ5" t="s">
        <v>72</v>
      </c>
      <c r="IK5" t="s">
        <v>69</v>
      </c>
      <c r="IL5" t="s">
        <v>71</v>
      </c>
      <c r="IM5" t="s">
        <v>69</v>
      </c>
      <c r="IN5">
        <v>131.17500000000001</v>
      </c>
      <c r="IO5" t="s">
        <v>69</v>
      </c>
      <c r="IP5" t="s">
        <v>69</v>
      </c>
      <c r="IQ5">
        <v>590</v>
      </c>
      <c r="IR5" t="s">
        <v>73</v>
      </c>
      <c r="IS5" t="s">
        <v>69</v>
      </c>
      <c r="IT5" t="s">
        <v>71</v>
      </c>
      <c r="IU5" t="s">
        <v>69</v>
      </c>
      <c r="IV5">
        <v>89.093999999999994</v>
      </c>
      <c r="IW5" t="s">
        <v>69</v>
      </c>
      <c r="IX5" t="s">
        <v>69</v>
      </c>
      <c r="IY5">
        <v>591</v>
      </c>
      <c r="IZ5" t="s">
        <v>73</v>
      </c>
      <c r="JA5" t="s">
        <v>69</v>
      </c>
      <c r="JB5" t="s">
        <v>71</v>
      </c>
      <c r="JC5" t="s">
        <v>69</v>
      </c>
      <c r="JD5">
        <v>89.093999999999994</v>
      </c>
      <c r="JE5" t="s">
        <v>69</v>
      </c>
      <c r="JF5" t="s">
        <v>69</v>
      </c>
      <c r="JG5">
        <v>598</v>
      </c>
      <c r="JH5" t="s">
        <v>73</v>
      </c>
      <c r="JI5" t="s">
        <v>69</v>
      </c>
      <c r="JJ5" t="s">
        <v>71</v>
      </c>
      <c r="JK5" t="s">
        <v>69</v>
      </c>
      <c r="JL5">
        <v>89.093999999999994</v>
      </c>
      <c r="JM5" t="s">
        <v>69</v>
      </c>
      <c r="JN5" t="s">
        <v>69</v>
      </c>
    </row>
    <row r="6" spans="1:274" x14ac:dyDescent="0.25">
      <c r="A6">
        <v>7</v>
      </c>
      <c r="B6" t="str">
        <f>HYPERLINK("http://www.ncbi.nlm.nih.gov/protein/XP_002758910.1","XP_002758910.1")</f>
        <v>XP_002758910.1</v>
      </c>
      <c r="C6">
        <v>87664</v>
      </c>
      <c r="D6" t="str">
        <f>HYPERLINK("http://www.ncbi.nlm.nih.gov/Taxonomy/Browser/wwwtax.cgi?mode=Info&amp;id=9483&amp;lvl=3&amp;lin=f&amp;keep=1&amp;srchmode=1&amp;unlock","9483")</f>
        <v>9483</v>
      </c>
      <c r="E6" t="s">
        <v>66</v>
      </c>
      <c r="F6" t="str">
        <f>HYPERLINK("http://www.ncbi.nlm.nih.gov/Taxonomy/Browser/wwwtax.cgi?mode=Info&amp;id=9483&amp;lvl=3&amp;lin=f&amp;keep=1&amp;srchmode=1&amp;unlock","Callithrix jacchus")</f>
        <v>Callithrix jacchus</v>
      </c>
      <c r="G6" t="s">
        <v>106</v>
      </c>
      <c r="H6" t="str">
        <f>HYPERLINK("http://www.ncbi.nlm.nih.gov/protein/XP_002758910.1","mitochondrial import receptor subunit TOM70")</f>
        <v>mitochondrial import receptor subunit TOM70</v>
      </c>
      <c r="I6" t="s">
        <v>270</v>
      </c>
      <c r="J6" t="s">
        <v>69</v>
      </c>
      <c r="K6">
        <v>215</v>
      </c>
      <c r="L6" t="s">
        <v>145</v>
      </c>
      <c r="M6" t="s">
        <v>69</v>
      </c>
      <c r="N6" t="s">
        <v>71</v>
      </c>
      <c r="O6" t="s">
        <v>69</v>
      </c>
      <c r="P6">
        <v>131.17500000000001</v>
      </c>
      <c r="Q6" t="s">
        <v>69</v>
      </c>
      <c r="R6" t="s">
        <v>69</v>
      </c>
      <c r="S6">
        <v>256</v>
      </c>
      <c r="T6" t="s">
        <v>151</v>
      </c>
      <c r="U6" t="s">
        <v>69</v>
      </c>
      <c r="V6" t="s">
        <v>152</v>
      </c>
      <c r="W6" t="s">
        <v>69</v>
      </c>
      <c r="X6">
        <v>165.19200000000001</v>
      </c>
      <c r="Y6" t="s">
        <v>69</v>
      </c>
      <c r="Z6" t="s">
        <v>69</v>
      </c>
      <c r="AA6">
        <v>259</v>
      </c>
      <c r="AB6" t="s">
        <v>155</v>
      </c>
      <c r="AC6" t="s">
        <v>69</v>
      </c>
      <c r="AD6" t="s">
        <v>150</v>
      </c>
      <c r="AE6" t="s">
        <v>69</v>
      </c>
      <c r="AF6">
        <v>105.093</v>
      </c>
      <c r="AG6" t="s">
        <v>69</v>
      </c>
      <c r="AH6" t="s">
        <v>69</v>
      </c>
      <c r="AI6">
        <v>260</v>
      </c>
      <c r="AJ6" t="s">
        <v>69</v>
      </c>
      <c r="AK6" t="s">
        <v>69</v>
      </c>
      <c r="AL6" t="s">
        <v>152</v>
      </c>
      <c r="AM6" t="s">
        <v>69</v>
      </c>
      <c r="AN6">
        <v>181.191</v>
      </c>
      <c r="AO6" t="s">
        <v>69</v>
      </c>
      <c r="AP6" t="s">
        <v>69</v>
      </c>
      <c r="AQ6">
        <v>340</v>
      </c>
      <c r="AR6" t="s">
        <v>72</v>
      </c>
      <c r="AS6" t="s">
        <v>69</v>
      </c>
      <c r="AT6" t="s">
        <v>71</v>
      </c>
      <c r="AU6" t="s">
        <v>69</v>
      </c>
      <c r="AV6">
        <v>131.17500000000001</v>
      </c>
      <c r="AW6" t="s">
        <v>69</v>
      </c>
      <c r="AX6" t="s">
        <v>69</v>
      </c>
      <c r="AY6">
        <v>341</v>
      </c>
      <c r="AZ6" t="s">
        <v>72</v>
      </c>
      <c r="BA6" t="s">
        <v>69</v>
      </c>
      <c r="BB6" t="s">
        <v>71</v>
      </c>
      <c r="BC6" t="s">
        <v>69</v>
      </c>
      <c r="BD6">
        <v>131.17500000000001</v>
      </c>
      <c r="BE6" t="s">
        <v>69</v>
      </c>
      <c r="BF6" t="s">
        <v>69</v>
      </c>
      <c r="BG6">
        <v>375</v>
      </c>
      <c r="BH6" t="s">
        <v>155</v>
      </c>
      <c r="BI6" t="s">
        <v>69</v>
      </c>
      <c r="BJ6" t="s">
        <v>150</v>
      </c>
      <c r="BK6" t="s">
        <v>69</v>
      </c>
      <c r="BL6">
        <v>105.093</v>
      </c>
      <c r="BM6" t="s">
        <v>69</v>
      </c>
      <c r="BN6" t="s">
        <v>69</v>
      </c>
      <c r="BO6">
        <v>378</v>
      </c>
      <c r="BP6" t="s">
        <v>116</v>
      </c>
      <c r="BQ6" t="s">
        <v>69</v>
      </c>
      <c r="BR6" t="s">
        <v>117</v>
      </c>
      <c r="BS6" t="s">
        <v>69</v>
      </c>
      <c r="BT6">
        <v>149.208</v>
      </c>
      <c r="BU6" t="s">
        <v>69</v>
      </c>
      <c r="BV6" t="s">
        <v>69</v>
      </c>
      <c r="BW6">
        <v>409</v>
      </c>
      <c r="BX6" t="s">
        <v>147</v>
      </c>
      <c r="BY6" t="s">
        <v>69</v>
      </c>
      <c r="BZ6" t="s">
        <v>148</v>
      </c>
      <c r="CA6" t="s">
        <v>69</v>
      </c>
      <c r="CB6">
        <v>146.14599999999999</v>
      </c>
      <c r="CC6" t="s">
        <v>69</v>
      </c>
      <c r="CD6" t="s">
        <v>69</v>
      </c>
      <c r="CE6">
        <v>410</v>
      </c>
      <c r="CF6" t="s">
        <v>72</v>
      </c>
      <c r="CG6" t="s">
        <v>69</v>
      </c>
      <c r="CH6" t="s">
        <v>71</v>
      </c>
      <c r="CI6" t="s">
        <v>69</v>
      </c>
      <c r="CJ6">
        <v>131.17500000000001</v>
      </c>
      <c r="CK6" t="s">
        <v>69</v>
      </c>
      <c r="CL6" t="s">
        <v>69</v>
      </c>
      <c r="CM6">
        <v>412</v>
      </c>
      <c r="CN6" t="s">
        <v>145</v>
      </c>
      <c r="CO6" t="s">
        <v>69</v>
      </c>
      <c r="CP6" t="s">
        <v>71</v>
      </c>
      <c r="CQ6" t="s">
        <v>69</v>
      </c>
      <c r="CR6">
        <v>131.17500000000001</v>
      </c>
      <c r="CS6" t="s">
        <v>69</v>
      </c>
      <c r="CT6" t="s">
        <v>69</v>
      </c>
      <c r="CU6">
        <v>414</v>
      </c>
      <c r="CV6" t="s">
        <v>72</v>
      </c>
      <c r="CW6" t="s">
        <v>69</v>
      </c>
      <c r="CX6" t="s">
        <v>71</v>
      </c>
      <c r="CY6" t="s">
        <v>69</v>
      </c>
      <c r="CZ6">
        <v>131.17500000000001</v>
      </c>
      <c r="DA6" t="s">
        <v>69</v>
      </c>
      <c r="DB6" t="s">
        <v>69</v>
      </c>
      <c r="DC6">
        <v>443</v>
      </c>
      <c r="DD6" t="s">
        <v>151</v>
      </c>
      <c r="DE6" t="s">
        <v>69</v>
      </c>
      <c r="DF6" t="s">
        <v>152</v>
      </c>
      <c r="DG6" t="s">
        <v>69</v>
      </c>
      <c r="DH6">
        <v>165.19200000000001</v>
      </c>
      <c r="DI6" t="s">
        <v>69</v>
      </c>
      <c r="DJ6" t="s">
        <v>69</v>
      </c>
      <c r="DK6">
        <v>480</v>
      </c>
      <c r="DL6" t="s">
        <v>73</v>
      </c>
      <c r="DM6" t="s">
        <v>69</v>
      </c>
      <c r="DN6" t="s">
        <v>71</v>
      </c>
      <c r="DO6" t="s">
        <v>69</v>
      </c>
      <c r="DP6">
        <v>89.093999999999994</v>
      </c>
      <c r="DQ6" t="s">
        <v>69</v>
      </c>
      <c r="DR6" t="s">
        <v>69</v>
      </c>
      <c r="DS6">
        <v>481</v>
      </c>
      <c r="DT6" t="s">
        <v>72</v>
      </c>
      <c r="DU6" t="s">
        <v>69</v>
      </c>
      <c r="DV6" t="s">
        <v>71</v>
      </c>
      <c r="DW6" t="s">
        <v>69</v>
      </c>
      <c r="DX6">
        <v>131.17500000000001</v>
      </c>
      <c r="DY6" t="s">
        <v>69</v>
      </c>
      <c r="DZ6" t="s">
        <v>69</v>
      </c>
      <c r="EA6">
        <v>511</v>
      </c>
      <c r="EB6" t="s">
        <v>149</v>
      </c>
      <c r="EC6" t="s">
        <v>69</v>
      </c>
      <c r="ED6" t="s">
        <v>150</v>
      </c>
      <c r="EE6" t="s">
        <v>69</v>
      </c>
      <c r="EF6">
        <v>119.119</v>
      </c>
      <c r="EG6" t="s">
        <v>69</v>
      </c>
      <c r="EH6" t="s">
        <v>69</v>
      </c>
      <c r="EI6">
        <v>515</v>
      </c>
      <c r="EJ6" t="s">
        <v>157</v>
      </c>
      <c r="EK6" t="s">
        <v>69</v>
      </c>
      <c r="EL6" t="s">
        <v>75</v>
      </c>
      <c r="EM6" t="s">
        <v>69</v>
      </c>
      <c r="EN6">
        <v>155.15600000000001</v>
      </c>
      <c r="EO6" t="s">
        <v>69</v>
      </c>
      <c r="EP6" t="s">
        <v>69</v>
      </c>
      <c r="EQ6">
        <v>518</v>
      </c>
      <c r="ER6" t="s">
        <v>72</v>
      </c>
      <c r="ES6" t="s">
        <v>69</v>
      </c>
      <c r="ET6" t="s">
        <v>71</v>
      </c>
      <c r="EU6" t="s">
        <v>69</v>
      </c>
      <c r="EV6">
        <v>131.17500000000001</v>
      </c>
      <c r="EW6" t="s">
        <v>69</v>
      </c>
      <c r="EX6" t="s">
        <v>69</v>
      </c>
      <c r="EY6">
        <v>521</v>
      </c>
      <c r="EZ6" t="s">
        <v>72</v>
      </c>
      <c r="FA6" t="s">
        <v>69</v>
      </c>
      <c r="FB6" t="s">
        <v>71</v>
      </c>
      <c r="FC6" t="s">
        <v>69</v>
      </c>
      <c r="FD6">
        <v>131.17500000000001</v>
      </c>
      <c r="FE6" t="s">
        <v>69</v>
      </c>
      <c r="FF6" t="s">
        <v>69</v>
      </c>
      <c r="FG6">
        <v>522</v>
      </c>
      <c r="FH6" t="s">
        <v>147</v>
      </c>
      <c r="FI6" t="s">
        <v>69</v>
      </c>
      <c r="FJ6" t="s">
        <v>148</v>
      </c>
      <c r="FK6" t="s">
        <v>69</v>
      </c>
      <c r="FL6">
        <v>146.14599999999999</v>
      </c>
      <c r="FM6" t="s">
        <v>69</v>
      </c>
      <c r="FN6" t="s">
        <v>69</v>
      </c>
      <c r="FO6">
        <v>546</v>
      </c>
      <c r="FP6" t="s">
        <v>151</v>
      </c>
      <c r="FQ6" t="s">
        <v>69</v>
      </c>
      <c r="FR6" t="s">
        <v>152</v>
      </c>
      <c r="FS6" t="s">
        <v>69</v>
      </c>
      <c r="FT6">
        <v>165.19200000000001</v>
      </c>
      <c r="FU6" t="s">
        <v>69</v>
      </c>
      <c r="FV6" t="s">
        <v>69</v>
      </c>
      <c r="FW6">
        <v>549</v>
      </c>
      <c r="FX6" t="s">
        <v>119</v>
      </c>
      <c r="FY6" t="s">
        <v>69</v>
      </c>
      <c r="FZ6" t="s">
        <v>120</v>
      </c>
      <c r="GA6" t="s">
        <v>69</v>
      </c>
      <c r="GB6">
        <v>147.131</v>
      </c>
      <c r="GC6" t="s">
        <v>69</v>
      </c>
      <c r="GD6" t="s">
        <v>69</v>
      </c>
      <c r="GE6">
        <v>550</v>
      </c>
      <c r="GF6" t="s">
        <v>149</v>
      </c>
      <c r="GG6" t="s">
        <v>69</v>
      </c>
      <c r="GH6" t="s">
        <v>150</v>
      </c>
      <c r="GI6" t="s">
        <v>69</v>
      </c>
      <c r="GJ6">
        <v>119.119</v>
      </c>
      <c r="GK6" t="s">
        <v>69</v>
      </c>
      <c r="GL6" t="s">
        <v>69</v>
      </c>
      <c r="GM6">
        <v>553</v>
      </c>
      <c r="GN6" t="s">
        <v>149</v>
      </c>
      <c r="GO6" t="s">
        <v>69</v>
      </c>
      <c r="GP6" t="s">
        <v>150</v>
      </c>
      <c r="GQ6" t="s">
        <v>69</v>
      </c>
      <c r="GR6">
        <v>119.119</v>
      </c>
      <c r="GS6" t="s">
        <v>69</v>
      </c>
      <c r="GT6" t="s">
        <v>69</v>
      </c>
      <c r="GU6">
        <v>557</v>
      </c>
      <c r="GV6" t="s">
        <v>147</v>
      </c>
      <c r="GW6" t="s">
        <v>69</v>
      </c>
      <c r="GX6" t="s">
        <v>148</v>
      </c>
      <c r="GY6" t="s">
        <v>69</v>
      </c>
      <c r="GZ6">
        <v>146.14599999999999</v>
      </c>
      <c r="HA6" t="s">
        <v>69</v>
      </c>
      <c r="HB6" t="s">
        <v>69</v>
      </c>
      <c r="HC6">
        <v>559</v>
      </c>
      <c r="HD6" t="s">
        <v>70</v>
      </c>
      <c r="HE6" t="s">
        <v>69</v>
      </c>
      <c r="HF6" t="s">
        <v>71</v>
      </c>
      <c r="HG6" t="s">
        <v>69</v>
      </c>
      <c r="HH6">
        <v>75.066999999999993</v>
      </c>
      <c r="HI6" t="s">
        <v>69</v>
      </c>
      <c r="HJ6" t="s">
        <v>69</v>
      </c>
      <c r="HK6">
        <v>561</v>
      </c>
      <c r="HL6" t="s">
        <v>116</v>
      </c>
      <c r="HM6" t="s">
        <v>69</v>
      </c>
      <c r="HN6" t="s">
        <v>117</v>
      </c>
      <c r="HO6" t="s">
        <v>69</v>
      </c>
      <c r="HP6">
        <v>149.208</v>
      </c>
      <c r="HQ6" t="s">
        <v>69</v>
      </c>
      <c r="HR6" t="s">
        <v>69</v>
      </c>
      <c r="HS6">
        <v>579</v>
      </c>
      <c r="HT6" t="s">
        <v>116</v>
      </c>
      <c r="HU6" t="s">
        <v>69</v>
      </c>
      <c r="HV6" t="s">
        <v>117</v>
      </c>
      <c r="HW6" t="s">
        <v>69</v>
      </c>
      <c r="HX6">
        <v>149.208</v>
      </c>
      <c r="HY6" t="s">
        <v>69</v>
      </c>
      <c r="HZ6" t="s">
        <v>69</v>
      </c>
      <c r="IA6">
        <v>583</v>
      </c>
      <c r="IB6" t="s">
        <v>157</v>
      </c>
      <c r="IC6" t="s">
        <v>69</v>
      </c>
      <c r="ID6" t="s">
        <v>75</v>
      </c>
      <c r="IE6" t="s">
        <v>69</v>
      </c>
      <c r="IF6">
        <v>155.15600000000001</v>
      </c>
      <c r="IG6" t="s">
        <v>69</v>
      </c>
      <c r="IH6" t="s">
        <v>69</v>
      </c>
      <c r="II6">
        <v>587</v>
      </c>
      <c r="IJ6" t="s">
        <v>72</v>
      </c>
      <c r="IK6" t="s">
        <v>69</v>
      </c>
      <c r="IL6" t="s">
        <v>71</v>
      </c>
      <c r="IM6" t="s">
        <v>69</v>
      </c>
      <c r="IN6">
        <v>131.17500000000001</v>
      </c>
      <c r="IO6" t="s">
        <v>69</v>
      </c>
      <c r="IP6" t="s">
        <v>69</v>
      </c>
      <c r="IQ6">
        <v>590</v>
      </c>
      <c r="IR6" t="s">
        <v>73</v>
      </c>
      <c r="IS6" t="s">
        <v>69</v>
      </c>
      <c r="IT6" t="s">
        <v>71</v>
      </c>
      <c r="IU6" t="s">
        <v>69</v>
      </c>
      <c r="IV6">
        <v>89.093999999999994</v>
      </c>
      <c r="IW6" t="s">
        <v>69</v>
      </c>
      <c r="IX6" t="s">
        <v>69</v>
      </c>
      <c r="IY6">
        <v>591</v>
      </c>
      <c r="IZ6" t="s">
        <v>73</v>
      </c>
      <c r="JA6" t="s">
        <v>69</v>
      </c>
      <c r="JB6" t="s">
        <v>71</v>
      </c>
      <c r="JC6" t="s">
        <v>69</v>
      </c>
      <c r="JD6">
        <v>89.093999999999994</v>
      </c>
      <c r="JE6" t="s">
        <v>69</v>
      </c>
      <c r="JF6" t="s">
        <v>69</v>
      </c>
      <c r="JG6">
        <v>598</v>
      </c>
      <c r="JH6" t="s">
        <v>73</v>
      </c>
      <c r="JI6" t="s">
        <v>69</v>
      </c>
      <c r="JJ6" t="s">
        <v>71</v>
      </c>
      <c r="JK6" t="s">
        <v>69</v>
      </c>
      <c r="JL6">
        <v>89.093999999999994</v>
      </c>
      <c r="JM6" t="s">
        <v>69</v>
      </c>
      <c r="JN6" t="s">
        <v>69</v>
      </c>
    </row>
    <row r="7" spans="1:274" x14ac:dyDescent="0.25">
      <c r="A7">
        <v>7</v>
      </c>
      <c r="B7" t="str">
        <f>HYPERLINK("http://www.ncbi.nlm.nih.gov/protein/XP_020926968.1","XP_020926968.1")</f>
        <v>XP_020926968.1</v>
      </c>
      <c r="C7">
        <v>86952</v>
      </c>
      <c r="D7" t="str">
        <f>HYPERLINK("http://www.ncbi.nlm.nih.gov/Taxonomy/Browser/wwwtax.cgi?mode=Info&amp;id=9823&amp;lvl=3&amp;lin=f&amp;keep=1&amp;srchmode=1&amp;unlock","9823")</f>
        <v>9823</v>
      </c>
      <c r="E7" t="s">
        <v>66</v>
      </c>
      <c r="F7" t="str">
        <f>HYPERLINK("http://www.ncbi.nlm.nih.gov/Taxonomy/Browser/wwwtax.cgi?mode=Info&amp;id=9823&amp;lvl=3&amp;lin=f&amp;keep=1&amp;srchmode=1&amp;unlock","Sus scrofa")</f>
        <v>Sus scrofa</v>
      </c>
      <c r="G7" t="s">
        <v>85</v>
      </c>
      <c r="H7" t="str">
        <f>HYPERLINK("http://www.ncbi.nlm.nih.gov/protein/XP_020926968.1","mitochondrial import receptor subunit TOM70")</f>
        <v>mitochondrial import receptor subunit TOM70</v>
      </c>
      <c r="I7" t="s">
        <v>270</v>
      </c>
      <c r="J7" t="s">
        <v>69</v>
      </c>
      <c r="K7">
        <v>216</v>
      </c>
      <c r="L7" t="s">
        <v>145</v>
      </c>
      <c r="M7" t="s">
        <v>69</v>
      </c>
      <c r="N7" t="s">
        <v>71</v>
      </c>
      <c r="O7" t="s">
        <v>69</v>
      </c>
      <c r="P7">
        <v>131.17500000000001</v>
      </c>
      <c r="Q7" t="s">
        <v>69</v>
      </c>
      <c r="R7" t="s">
        <v>69</v>
      </c>
      <c r="S7">
        <v>257</v>
      </c>
      <c r="T7" t="s">
        <v>151</v>
      </c>
      <c r="U7" t="s">
        <v>69</v>
      </c>
      <c r="V7" t="s">
        <v>152</v>
      </c>
      <c r="W7" t="s">
        <v>69</v>
      </c>
      <c r="X7">
        <v>165.19200000000001</v>
      </c>
      <c r="Y7" t="s">
        <v>69</v>
      </c>
      <c r="Z7" t="s">
        <v>69</v>
      </c>
      <c r="AA7">
        <v>260</v>
      </c>
      <c r="AB7" t="s">
        <v>155</v>
      </c>
      <c r="AC7" t="s">
        <v>69</v>
      </c>
      <c r="AD7" t="s">
        <v>150</v>
      </c>
      <c r="AE7" t="s">
        <v>69</v>
      </c>
      <c r="AF7">
        <v>105.093</v>
      </c>
      <c r="AG7" t="s">
        <v>69</v>
      </c>
      <c r="AH7" t="s">
        <v>69</v>
      </c>
      <c r="AI7">
        <v>261</v>
      </c>
      <c r="AJ7" t="s">
        <v>69</v>
      </c>
      <c r="AK7" t="s">
        <v>69</v>
      </c>
      <c r="AL7" t="s">
        <v>152</v>
      </c>
      <c r="AM7" t="s">
        <v>69</v>
      </c>
      <c r="AN7">
        <v>181.191</v>
      </c>
      <c r="AO7" t="s">
        <v>69</v>
      </c>
      <c r="AP7" t="s">
        <v>69</v>
      </c>
      <c r="AQ7">
        <v>341</v>
      </c>
      <c r="AR7" t="s">
        <v>72</v>
      </c>
      <c r="AS7" t="s">
        <v>69</v>
      </c>
      <c r="AT7" t="s">
        <v>71</v>
      </c>
      <c r="AU7" t="s">
        <v>69</v>
      </c>
      <c r="AV7">
        <v>131.17500000000001</v>
      </c>
      <c r="AW7" t="s">
        <v>69</v>
      </c>
      <c r="AX7" t="s">
        <v>69</v>
      </c>
      <c r="AY7">
        <v>342</v>
      </c>
      <c r="AZ7" t="s">
        <v>72</v>
      </c>
      <c r="BA7" t="s">
        <v>69</v>
      </c>
      <c r="BB7" t="s">
        <v>71</v>
      </c>
      <c r="BC7" t="s">
        <v>69</v>
      </c>
      <c r="BD7">
        <v>131.17500000000001</v>
      </c>
      <c r="BE7" t="s">
        <v>69</v>
      </c>
      <c r="BF7" t="s">
        <v>69</v>
      </c>
      <c r="BG7">
        <v>376</v>
      </c>
      <c r="BH7" t="s">
        <v>155</v>
      </c>
      <c r="BI7" t="s">
        <v>69</v>
      </c>
      <c r="BJ7" t="s">
        <v>150</v>
      </c>
      <c r="BK7" t="s">
        <v>69</v>
      </c>
      <c r="BL7">
        <v>105.093</v>
      </c>
      <c r="BM7" t="s">
        <v>69</v>
      </c>
      <c r="BN7" t="s">
        <v>69</v>
      </c>
      <c r="BO7">
        <v>379</v>
      </c>
      <c r="BP7" t="s">
        <v>116</v>
      </c>
      <c r="BQ7" t="s">
        <v>69</v>
      </c>
      <c r="BR7" t="s">
        <v>117</v>
      </c>
      <c r="BS7" t="s">
        <v>69</v>
      </c>
      <c r="BT7">
        <v>149.208</v>
      </c>
      <c r="BU7" t="s">
        <v>69</v>
      </c>
      <c r="BV7" t="s">
        <v>69</v>
      </c>
      <c r="BW7">
        <v>410</v>
      </c>
      <c r="BX7" t="s">
        <v>147</v>
      </c>
      <c r="BY7" t="s">
        <v>69</v>
      </c>
      <c r="BZ7" t="s">
        <v>148</v>
      </c>
      <c r="CA7" t="s">
        <v>69</v>
      </c>
      <c r="CB7">
        <v>146.14599999999999</v>
      </c>
      <c r="CC7" t="s">
        <v>69</v>
      </c>
      <c r="CD7" t="s">
        <v>69</v>
      </c>
      <c r="CE7">
        <v>411</v>
      </c>
      <c r="CF7" t="s">
        <v>72</v>
      </c>
      <c r="CG7" t="s">
        <v>69</v>
      </c>
      <c r="CH7" t="s">
        <v>71</v>
      </c>
      <c r="CI7" t="s">
        <v>69</v>
      </c>
      <c r="CJ7">
        <v>131.17500000000001</v>
      </c>
      <c r="CK7" t="s">
        <v>69</v>
      </c>
      <c r="CL7" t="s">
        <v>69</v>
      </c>
      <c r="CM7">
        <v>413</v>
      </c>
      <c r="CN7" t="s">
        <v>145</v>
      </c>
      <c r="CO7" t="s">
        <v>69</v>
      </c>
      <c r="CP7" t="s">
        <v>71</v>
      </c>
      <c r="CQ7" t="s">
        <v>69</v>
      </c>
      <c r="CR7">
        <v>131.17500000000001</v>
      </c>
      <c r="CS7" t="s">
        <v>69</v>
      </c>
      <c r="CT7" t="s">
        <v>69</v>
      </c>
      <c r="CU7">
        <v>415</v>
      </c>
      <c r="CV7" t="s">
        <v>72</v>
      </c>
      <c r="CW7" t="s">
        <v>69</v>
      </c>
      <c r="CX7" t="s">
        <v>71</v>
      </c>
      <c r="CY7" t="s">
        <v>69</v>
      </c>
      <c r="CZ7">
        <v>131.17500000000001</v>
      </c>
      <c r="DA7" t="s">
        <v>69</v>
      </c>
      <c r="DB7" t="s">
        <v>69</v>
      </c>
      <c r="DC7">
        <v>444</v>
      </c>
      <c r="DD7" t="s">
        <v>151</v>
      </c>
      <c r="DE7" t="s">
        <v>69</v>
      </c>
      <c r="DF7" t="s">
        <v>152</v>
      </c>
      <c r="DG7" t="s">
        <v>69</v>
      </c>
      <c r="DH7">
        <v>165.19200000000001</v>
      </c>
      <c r="DI7" t="s">
        <v>69</v>
      </c>
      <c r="DJ7" t="s">
        <v>69</v>
      </c>
      <c r="DK7">
        <v>481</v>
      </c>
      <c r="DL7" t="s">
        <v>73</v>
      </c>
      <c r="DM7" t="s">
        <v>69</v>
      </c>
      <c r="DN7" t="s">
        <v>71</v>
      </c>
      <c r="DO7" t="s">
        <v>69</v>
      </c>
      <c r="DP7">
        <v>89.093999999999994</v>
      </c>
      <c r="DQ7" t="s">
        <v>69</v>
      </c>
      <c r="DR7" t="s">
        <v>69</v>
      </c>
      <c r="DS7">
        <v>482</v>
      </c>
      <c r="DT7" t="s">
        <v>72</v>
      </c>
      <c r="DU7" t="s">
        <v>69</v>
      </c>
      <c r="DV7" t="s">
        <v>71</v>
      </c>
      <c r="DW7" t="s">
        <v>69</v>
      </c>
      <c r="DX7">
        <v>131.17500000000001</v>
      </c>
      <c r="DY7" t="s">
        <v>69</v>
      </c>
      <c r="DZ7" t="s">
        <v>69</v>
      </c>
      <c r="EA7">
        <v>512</v>
      </c>
      <c r="EB7" t="s">
        <v>149</v>
      </c>
      <c r="EC7" t="s">
        <v>69</v>
      </c>
      <c r="ED7" t="s">
        <v>150</v>
      </c>
      <c r="EE7" t="s">
        <v>69</v>
      </c>
      <c r="EF7">
        <v>119.119</v>
      </c>
      <c r="EG7" t="s">
        <v>69</v>
      </c>
      <c r="EH7" t="s">
        <v>69</v>
      </c>
      <c r="EI7">
        <v>516</v>
      </c>
      <c r="EJ7" t="s">
        <v>157</v>
      </c>
      <c r="EK7" t="s">
        <v>69</v>
      </c>
      <c r="EL7" t="s">
        <v>75</v>
      </c>
      <c r="EM7" t="s">
        <v>69</v>
      </c>
      <c r="EN7">
        <v>155.15600000000001</v>
      </c>
      <c r="EO7" t="s">
        <v>69</v>
      </c>
      <c r="EP7" t="s">
        <v>69</v>
      </c>
      <c r="EQ7">
        <v>519</v>
      </c>
      <c r="ER7" t="s">
        <v>72</v>
      </c>
      <c r="ES7" t="s">
        <v>69</v>
      </c>
      <c r="ET7" t="s">
        <v>71</v>
      </c>
      <c r="EU7" t="s">
        <v>69</v>
      </c>
      <c r="EV7">
        <v>131.17500000000001</v>
      </c>
      <c r="EW7" t="s">
        <v>69</v>
      </c>
      <c r="EX7" t="s">
        <v>69</v>
      </c>
      <c r="EY7">
        <v>522</v>
      </c>
      <c r="EZ7" t="s">
        <v>72</v>
      </c>
      <c r="FA7" t="s">
        <v>69</v>
      </c>
      <c r="FB7" t="s">
        <v>71</v>
      </c>
      <c r="FC7" t="s">
        <v>69</v>
      </c>
      <c r="FD7">
        <v>131.17500000000001</v>
      </c>
      <c r="FE7" t="s">
        <v>69</v>
      </c>
      <c r="FF7" t="s">
        <v>69</v>
      </c>
      <c r="FG7">
        <v>523</v>
      </c>
      <c r="FH7" t="s">
        <v>147</v>
      </c>
      <c r="FI7" t="s">
        <v>69</v>
      </c>
      <c r="FJ7" t="s">
        <v>148</v>
      </c>
      <c r="FK7" t="s">
        <v>69</v>
      </c>
      <c r="FL7">
        <v>146.14599999999999</v>
      </c>
      <c r="FM7" t="s">
        <v>69</v>
      </c>
      <c r="FN7" t="s">
        <v>69</v>
      </c>
      <c r="FO7">
        <v>547</v>
      </c>
      <c r="FP7" t="s">
        <v>151</v>
      </c>
      <c r="FQ7" t="s">
        <v>69</v>
      </c>
      <c r="FR7" t="s">
        <v>152</v>
      </c>
      <c r="FS7" t="s">
        <v>69</v>
      </c>
      <c r="FT7">
        <v>165.19200000000001</v>
      </c>
      <c r="FU7" t="s">
        <v>69</v>
      </c>
      <c r="FV7" t="s">
        <v>69</v>
      </c>
      <c r="FW7">
        <v>550</v>
      </c>
      <c r="FX7" t="s">
        <v>119</v>
      </c>
      <c r="FY7" t="s">
        <v>69</v>
      </c>
      <c r="FZ7" t="s">
        <v>120</v>
      </c>
      <c r="GA7" t="s">
        <v>69</v>
      </c>
      <c r="GB7">
        <v>147.131</v>
      </c>
      <c r="GC7" t="s">
        <v>69</v>
      </c>
      <c r="GD7" t="s">
        <v>69</v>
      </c>
      <c r="GE7">
        <v>551</v>
      </c>
      <c r="GF7" t="s">
        <v>149</v>
      </c>
      <c r="GG7" t="s">
        <v>69</v>
      </c>
      <c r="GH7" t="s">
        <v>150</v>
      </c>
      <c r="GI7" t="s">
        <v>69</v>
      </c>
      <c r="GJ7">
        <v>119.119</v>
      </c>
      <c r="GK7" t="s">
        <v>69</v>
      </c>
      <c r="GL7" t="s">
        <v>69</v>
      </c>
      <c r="GM7">
        <v>554</v>
      </c>
      <c r="GN7" t="s">
        <v>149</v>
      </c>
      <c r="GO7" t="s">
        <v>69</v>
      </c>
      <c r="GP7" t="s">
        <v>150</v>
      </c>
      <c r="GQ7" t="s">
        <v>69</v>
      </c>
      <c r="GR7">
        <v>119.119</v>
      </c>
      <c r="GS7" t="s">
        <v>69</v>
      </c>
      <c r="GT7" t="s">
        <v>69</v>
      </c>
      <c r="GU7">
        <v>558</v>
      </c>
      <c r="GV7" t="s">
        <v>147</v>
      </c>
      <c r="GW7" t="s">
        <v>69</v>
      </c>
      <c r="GX7" t="s">
        <v>148</v>
      </c>
      <c r="GY7" t="s">
        <v>69</v>
      </c>
      <c r="GZ7">
        <v>146.14599999999999</v>
      </c>
      <c r="HA7" t="s">
        <v>69</v>
      </c>
      <c r="HB7" t="s">
        <v>69</v>
      </c>
      <c r="HC7">
        <v>560</v>
      </c>
      <c r="HD7" t="s">
        <v>70</v>
      </c>
      <c r="HE7" t="s">
        <v>69</v>
      </c>
      <c r="HF7" t="s">
        <v>71</v>
      </c>
      <c r="HG7" t="s">
        <v>69</v>
      </c>
      <c r="HH7">
        <v>75.066999999999993</v>
      </c>
      <c r="HI7" t="s">
        <v>69</v>
      </c>
      <c r="HJ7" t="s">
        <v>69</v>
      </c>
      <c r="HK7">
        <v>562</v>
      </c>
      <c r="HL7" t="s">
        <v>116</v>
      </c>
      <c r="HM7" t="s">
        <v>69</v>
      </c>
      <c r="HN7" t="s">
        <v>117</v>
      </c>
      <c r="HO7" t="s">
        <v>69</v>
      </c>
      <c r="HP7">
        <v>149.208</v>
      </c>
      <c r="HQ7" t="s">
        <v>69</v>
      </c>
      <c r="HR7" t="s">
        <v>69</v>
      </c>
      <c r="HS7">
        <v>580</v>
      </c>
      <c r="HT7" t="s">
        <v>116</v>
      </c>
      <c r="HU7" t="s">
        <v>69</v>
      </c>
      <c r="HV7" t="s">
        <v>117</v>
      </c>
      <c r="HW7" t="s">
        <v>69</v>
      </c>
      <c r="HX7">
        <v>149.208</v>
      </c>
      <c r="HY7" t="s">
        <v>69</v>
      </c>
      <c r="HZ7" t="s">
        <v>69</v>
      </c>
      <c r="IA7">
        <v>584</v>
      </c>
      <c r="IB7" t="s">
        <v>157</v>
      </c>
      <c r="IC7" t="s">
        <v>69</v>
      </c>
      <c r="ID7" t="s">
        <v>75</v>
      </c>
      <c r="IE7" t="s">
        <v>69</v>
      </c>
      <c r="IF7">
        <v>155.15600000000001</v>
      </c>
      <c r="IG7" t="s">
        <v>69</v>
      </c>
      <c r="IH7" t="s">
        <v>69</v>
      </c>
      <c r="II7">
        <v>588</v>
      </c>
      <c r="IJ7" t="s">
        <v>72</v>
      </c>
      <c r="IK7" t="s">
        <v>69</v>
      </c>
      <c r="IL7" t="s">
        <v>71</v>
      </c>
      <c r="IM7" t="s">
        <v>69</v>
      </c>
      <c r="IN7">
        <v>131.17500000000001</v>
      </c>
      <c r="IO7" t="s">
        <v>69</v>
      </c>
      <c r="IP7" t="s">
        <v>69</v>
      </c>
      <c r="IQ7">
        <v>591</v>
      </c>
      <c r="IR7" t="s">
        <v>73</v>
      </c>
      <c r="IS7" t="s">
        <v>69</v>
      </c>
      <c r="IT7" t="s">
        <v>71</v>
      </c>
      <c r="IU7" t="s">
        <v>69</v>
      </c>
      <c r="IV7">
        <v>89.093999999999994</v>
      </c>
      <c r="IW7" t="s">
        <v>69</v>
      </c>
      <c r="IX7" t="s">
        <v>69</v>
      </c>
      <c r="IY7">
        <v>592</v>
      </c>
      <c r="IZ7" t="s">
        <v>73</v>
      </c>
      <c r="JA7" t="s">
        <v>69</v>
      </c>
      <c r="JB7" t="s">
        <v>71</v>
      </c>
      <c r="JC7" t="s">
        <v>69</v>
      </c>
      <c r="JD7">
        <v>89.093999999999994</v>
      </c>
      <c r="JE7" t="s">
        <v>69</v>
      </c>
      <c r="JF7" t="s">
        <v>69</v>
      </c>
      <c r="JG7">
        <v>599</v>
      </c>
      <c r="JH7" t="s">
        <v>73</v>
      </c>
      <c r="JI7" t="s">
        <v>69</v>
      </c>
      <c r="JJ7" t="s">
        <v>71</v>
      </c>
      <c r="JK7" t="s">
        <v>69</v>
      </c>
      <c r="JL7">
        <v>89.093999999999994</v>
      </c>
      <c r="JM7" t="s">
        <v>69</v>
      </c>
      <c r="JN7" t="s">
        <v>69</v>
      </c>
    </row>
    <row r="8" spans="1:274" x14ac:dyDescent="0.25">
      <c r="A8">
        <v>7</v>
      </c>
      <c r="B8" t="str">
        <f>HYPERLINK("http://www.ncbi.nlm.nih.gov/protein/XP_014441435.1","XP_014441435.1")</f>
        <v>XP_014441435.1</v>
      </c>
      <c r="C8">
        <v>59507</v>
      </c>
      <c r="D8" t="str">
        <f>HYPERLINK("http://www.ncbi.nlm.nih.gov/Taxonomy/Browser/wwwtax.cgi?mode=Info&amp;id=246437&amp;lvl=3&amp;lin=f&amp;keep=1&amp;srchmode=1&amp;unlock","246437")</f>
        <v>246437</v>
      </c>
      <c r="E8" t="s">
        <v>66</v>
      </c>
      <c r="F8" t="str">
        <f>HYPERLINK("http://www.ncbi.nlm.nih.gov/Taxonomy/Browser/wwwtax.cgi?mode=Info&amp;id=246437&amp;lvl=3&amp;lin=f&amp;keep=1&amp;srchmode=1&amp;unlock","Tupaia chinensis")</f>
        <v>Tupaia chinensis</v>
      </c>
      <c r="G8" t="s">
        <v>97</v>
      </c>
      <c r="H8" t="str">
        <f>HYPERLINK("http://www.ncbi.nlm.nih.gov/protein/XP_014441435.1","mitochondrial import receptor subunit TOM70")</f>
        <v>mitochondrial import receptor subunit TOM70</v>
      </c>
      <c r="I8" t="s">
        <v>270</v>
      </c>
      <c r="J8" t="s">
        <v>69</v>
      </c>
      <c r="K8">
        <v>216</v>
      </c>
      <c r="L8" t="s">
        <v>145</v>
      </c>
      <c r="M8" t="s">
        <v>69</v>
      </c>
      <c r="N8" t="s">
        <v>71</v>
      </c>
      <c r="O8" t="s">
        <v>69</v>
      </c>
      <c r="P8">
        <v>131.17500000000001</v>
      </c>
      <c r="Q8" t="s">
        <v>69</v>
      </c>
      <c r="R8" t="s">
        <v>69</v>
      </c>
      <c r="S8">
        <v>257</v>
      </c>
      <c r="T8" t="s">
        <v>151</v>
      </c>
      <c r="U8" t="s">
        <v>69</v>
      </c>
      <c r="V8" t="s">
        <v>152</v>
      </c>
      <c r="W8" t="s">
        <v>69</v>
      </c>
      <c r="X8">
        <v>165.19200000000001</v>
      </c>
      <c r="Y8" t="s">
        <v>69</v>
      </c>
      <c r="Z8" t="s">
        <v>69</v>
      </c>
      <c r="AA8">
        <v>260</v>
      </c>
      <c r="AB8" t="s">
        <v>155</v>
      </c>
      <c r="AC8" t="s">
        <v>69</v>
      </c>
      <c r="AD8" t="s">
        <v>150</v>
      </c>
      <c r="AE8" t="s">
        <v>69</v>
      </c>
      <c r="AF8">
        <v>105.093</v>
      </c>
      <c r="AG8" t="s">
        <v>69</v>
      </c>
      <c r="AH8" t="s">
        <v>69</v>
      </c>
      <c r="AI8">
        <v>261</v>
      </c>
      <c r="AJ8" t="s">
        <v>69</v>
      </c>
      <c r="AK8" t="s">
        <v>69</v>
      </c>
      <c r="AL8" t="s">
        <v>152</v>
      </c>
      <c r="AM8" t="s">
        <v>69</v>
      </c>
      <c r="AN8">
        <v>181.191</v>
      </c>
      <c r="AO8" t="s">
        <v>69</v>
      </c>
      <c r="AP8" t="s">
        <v>69</v>
      </c>
      <c r="AQ8">
        <v>341</v>
      </c>
      <c r="AR8" t="s">
        <v>72</v>
      </c>
      <c r="AS8" t="s">
        <v>69</v>
      </c>
      <c r="AT8" t="s">
        <v>71</v>
      </c>
      <c r="AU8" t="s">
        <v>69</v>
      </c>
      <c r="AV8">
        <v>131.17500000000001</v>
      </c>
      <c r="AW8" t="s">
        <v>69</v>
      </c>
      <c r="AX8" t="s">
        <v>69</v>
      </c>
      <c r="AY8">
        <v>342</v>
      </c>
      <c r="AZ8" t="s">
        <v>72</v>
      </c>
      <c r="BA8" t="s">
        <v>69</v>
      </c>
      <c r="BB8" t="s">
        <v>71</v>
      </c>
      <c r="BC8" t="s">
        <v>69</v>
      </c>
      <c r="BD8">
        <v>131.17500000000001</v>
      </c>
      <c r="BE8" t="s">
        <v>69</v>
      </c>
      <c r="BF8" t="s">
        <v>69</v>
      </c>
      <c r="BG8">
        <v>376</v>
      </c>
      <c r="BH8" t="s">
        <v>155</v>
      </c>
      <c r="BI8" t="s">
        <v>69</v>
      </c>
      <c r="BJ8" t="s">
        <v>150</v>
      </c>
      <c r="BK8" t="s">
        <v>69</v>
      </c>
      <c r="BL8">
        <v>105.093</v>
      </c>
      <c r="BM8" t="s">
        <v>69</v>
      </c>
      <c r="BN8" t="s">
        <v>69</v>
      </c>
      <c r="BO8">
        <v>379</v>
      </c>
      <c r="BP8" t="s">
        <v>116</v>
      </c>
      <c r="BQ8" t="s">
        <v>69</v>
      </c>
      <c r="BR8" t="s">
        <v>117</v>
      </c>
      <c r="BS8" t="s">
        <v>69</v>
      </c>
      <c r="BT8">
        <v>149.208</v>
      </c>
      <c r="BU8" t="s">
        <v>69</v>
      </c>
      <c r="BV8" t="s">
        <v>69</v>
      </c>
      <c r="BW8">
        <v>410</v>
      </c>
      <c r="BX8" t="s">
        <v>147</v>
      </c>
      <c r="BY8" t="s">
        <v>69</v>
      </c>
      <c r="BZ8" t="s">
        <v>148</v>
      </c>
      <c r="CA8" t="s">
        <v>69</v>
      </c>
      <c r="CB8">
        <v>146.14599999999999</v>
      </c>
      <c r="CC8" t="s">
        <v>69</v>
      </c>
      <c r="CD8" t="s">
        <v>69</v>
      </c>
      <c r="CE8">
        <v>411</v>
      </c>
      <c r="CF8" t="s">
        <v>72</v>
      </c>
      <c r="CG8" t="s">
        <v>69</v>
      </c>
      <c r="CH8" t="s">
        <v>71</v>
      </c>
      <c r="CI8" t="s">
        <v>69</v>
      </c>
      <c r="CJ8">
        <v>131.17500000000001</v>
      </c>
      <c r="CK8" t="s">
        <v>69</v>
      </c>
      <c r="CL8" t="s">
        <v>69</v>
      </c>
      <c r="CM8">
        <v>413</v>
      </c>
      <c r="CN8" t="s">
        <v>145</v>
      </c>
      <c r="CO8" t="s">
        <v>69</v>
      </c>
      <c r="CP8" t="s">
        <v>71</v>
      </c>
      <c r="CQ8" t="s">
        <v>69</v>
      </c>
      <c r="CR8">
        <v>131.17500000000001</v>
      </c>
      <c r="CS8" t="s">
        <v>69</v>
      </c>
      <c r="CT8" t="s">
        <v>69</v>
      </c>
      <c r="CU8">
        <v>415</v>
      </c>
      <c r="CV8" t="s">
        <v>72</v>
      </c>
      <c r="CW8" t="s">
        <v>69</v>
      </c>
      <c r="CX8" t="s">
        <v>71</v>
      </c>
      <c r="CY8" t="s">
        <v>69</v>
      </c>
      <c r="CZ8">
        <v>131.17500000000001</v>
      </c>
      <c r="DA8" t="s">
        <v>69</v>
      </c>
      <c r="DB8" t="s">
        <v>69</v>
      </c>
      <c r="DC8">
        <v>444</v>
      </c>
      <c r="DD8" t="s">
        <v>151</v>
      </c>
      <c r="DE8" t="s">
        <v>69</v>
      </c>
      <c r="DF8" t="s">
        <v>152</v>
      </c>
      <c r="DG8" t="s">
        <v>69</v>
      </c>
      <c r="DH8">
        <v>165.19200000000001</v>
      </c>
      <c r="DI8" t="s">
        <v>69</v>
      </c>
      <c r="DJ8" t="s">
        <v>69</v>
      </c>
      <c r="DK8">
        <v>481</v>
      </c>
      <c r="DL8" t="s">
        <v>73</v>
      </c>
      <c r="DM8" t="s">
        <v>69</v>
      </c>
      <c r="DN8" t="s">
        <v>71</v>
      </c>
      <c r="DO8" t="s">
        <v>69</v>
      </c>
      <c r="DP8">
        <v>89.093999999999994</v>
      </c>
      <c r="DQ8" t="s">
        <v>69</v>
      </c>
      <c r="DR8" t="s">
        <v>69</v>
      </c>
      <c r="DS8">
        <v>482</v>
      </c>
      <c r="DT8" t="s">
        <v>72</v>
      </c>
      <c r="DU8" t="s">
        <v>69</v>
      </c>
      <c r="DV8" t="s">
        <v>71</v>
      </c>
      <c r="DW8" t="s">
        <v>69</v>
      </c>
      <c r="DX8">
        <v>131.17500000000001</v>
      </c>
      <c r="DY8" t="s">
        <v>69</v>
      </c>
      <c r="DZ8" t="s">
        <v>69</v>
      </c>
      <c r="EA8">
        <v>512</v>
      </c>
      <c r="EB8" t="s">
        <v>149</v>
      </c>
      <c r="EC8" t="s">
        <v>69</v>
      </c>
      <c r="ED8" t="s">
        <v>150</v>
      </c>
      <c r="EE8" t="s">
        <v>69</v>
      </c>
      <c r="EF8">
        <v>119.119</v>
      </c>
      <c r="EG8" t="s">
        <v>69</v>
      </c>
      <c r="EH8" t="s">
        <v>69</v>
      </c>
      <c r="EI8">
        <v>516</v>
      </c>
      <c r="EJ8" t="s">
        <v>157</v>
      </c>
      <c r="EK8" t="s">
        <v>69</v>
      </c>
      <c r="EL8" t="s">
        <v>75</v>
      </c>
      <c r="EM8" t="s">
        <v>69</v>
      </c>
      <c r="EN8">
        <v>155.15600000000001</v>
      </c>
      <c r="EO8" t="s">
        <v>69</v>
      </c>
      <c r="EP8" t="s">
        <v>69</v>
      </c>
      <c r="EQ8">
        <v>519</v>
      </c>
      <c r="ER8" t="s">
        <v>72</v>
      </c>
      <c r="ES8" t="s">
        <v>69</v>
      </c>
      <c r="ET8" t="s">
        <v>71</v>
      </c>
      <c r="EU8" t="s">
        <v>69</v>
      </c>
      <c r="EV8">
        <v>131.17500000000001</v>
      </c>
      <c r="EW8" t="s">
        <v>69</v>
      </c>
      <c r="EX8" t="s">
        <v>69</v>
      </c>
      <c r="EY8">
        <v>522</v>
      </c>
      <c r="EZ8" t="s">
        <v>72</v>
      </c>
      <c r="FA8" t="s">
        <v>69</v>
      </c>
      <c r="FB8" t="s">
        <v>71</v>
      </c>
      <c r="FC8" t="s">
        <v>69</v>
      </c>
      <c r="FD8">
        <v>131.17500000000001</v>
      </c>
      <c r="FE8" t="s">
        <v>69</v>
      </c>
      <c r="FF8" t="s">
        <v>69</v>
      </c>
      <c r="FG8">
        <v>523</v>
      </c>
      <c r="FH8" t="s">
        <v>147</v>
      </c>
      <c r="FI8" t="s">
        <v>69</v>
      </c>
      <c r="FJ8" t="s">
        <v>148</v>
      </c>
      <c r="FK8" t="s">
        <v>69</v>
      </c>
      <c r="FL8">
        <v>146.14599999999999</v>
      </c>
      <c r="FM8" t="s">
        <v>69</v>
      </c>
      <c r="FN8" t="s">
        <v>69</v>
      </c>
      <c r="FO8">
        <v>547</v>
      </c>
      <c r="FP8" t="s">
        <v>151</v>
      </c>
      <c r="FQ8" t="s">
        <v>69</v>
      </c>
      <c r="FR8" t="s">
        <v>152</v>
      </c>
      <c r="FS8" t="s">
        <v>69</v>
      </c>
      <c r="FT8">
        <v>165.19200000000001</v>
      </c>
      <c r="FU8" t="s">
        <v>69</v>
      </c>
      <c r="FV8" t="s">
        <v>69</v>
      </c>
      <c r="FW8">
        <v>550</v>
      </c>
      <c r="FX8" t="s">
        <v>119</v>
      </c>
      <c r="FY8" t="s">
        <v>69</v>
      </c>
      <c r="FZ8" t="s">
        <v>120</v>
      </c>
      <c r="GA8" t="s">
        <v>69</v>
      </c>
      <c r="GB8">
        <v>147.131</v>
      </c>
      <c r="GC8" t="s">
        <v>69</v>
      </c>
      <c r="GD8" t="s">
        <v>69</v>
      </c>
      <c r="GE8">
        <v>551</v>
      </c>
      <c r="GF8" t="s">
        <v>149</v>
      </c>
      <c r="GG8" t="s">
        <v>69</v>
      </c>
      <c r="GH8" t="s">
        <v>150</v>
      </c>
      <c r="GI8" t="s">
        <v>69</v>
      </c>
      <c r="GJ8">
        <v>119.119</v>
      </c>
      <c r="GK8" t="s">
        <v>69</v>
      </c>
      <c r="GL8" t="s">
        <v>69</v>
      </c>
      <c r="GM8">
        <v>554</v>
      </c>
      <c r="GN8" t="s">
        <v>149</v>
      </c>
      <c r="GO8" t="s">
        <v>69</v>
      </c>
      <c r="GP8" t="s">
        <v>150</v>
      </c>
      <c r="GQ8" t="s">
        <v>69</v>
      </c>
      <c r="GR8">
        <v>119.119</v>
      </c>
      <c r="GS8" t="s">
        <v>69</v>
      </c>
      <c r="GT8" t="s">
        <v>69</v>
      </c>
      <c r="GU8">
        <v>558</v>
      </c>
      <c r="GV8" t="s">
        <v>147</v>
      </c>
      <c r="GW8" t="s">
        <v>69</v>
      </c>
      <c r="GX8" t="s">
        <v>148</v>
      </c>
      <c r="GY8" t="s">
        <v>69</v>
      </c>
      <c r="GZ8">
        <v>146.14599999999999</v>
      </c>
      <c r="HA8" t="s">
        <v>69</v>
      </c>
      <c r="HB8" t="s">
        <v>69</v>
      </c>
      <c r="HC8">
        <v>560</v>
      </c>
      <c r="HD8" t="s">
        <v>70</v>
      </c>
      <c r="HE8" t="s">
        <v>69</v>
      </c>
      <c r="HF8" t="s">
        <v>71</v>
      </c>
      <c r="HG8" t="s">
        <v>69</v>
      </c>
      <c r="HH8">
        <v>75.066999999999993</v>
      </c>
      <c r="HI8" t="s">
        <v>69</v>
      </c>
      <c r="HJ8" t="s">
        <v>69</v>
      </c>
      <c r="HK8">
        <v>562</v>
      </c>
      <c r="HL8" t="s">
        <v>116</v>
      </c>
      <c r="HM8" t="s">
        <v>69</v>
      </c>
      <c r="HN8" t="s">
        <v>117</v>
      </c>
      <c r="HO8" t="s">
        <v>69</v>
      </c>
      <c r="HP8">
        <v>149.208</v>
      </c>
      <c r="HQ8" t="s">
        <v>69</v>
      </c>
      <c r="HR8" t="s">
        <v>69</v>
      </c>
      <c r="HS8">
        <v>580</v>
      </c>
      <c r="HT8" t="s">
        <v>116</v>
      </c>
      <c r="HU8" t="s">
        <v>69</v>
      </c>
      <c r="HV8" t="s">
        <v>117</v>
      </c>
      <c r="HW8" t="s">
        <v>69</v>
      </c>
      <c r="HX8">
        <v>149.208</v>
      </c>
      <c r="HY8" t="s">
        <v>69</v>
      </c>
      <c r="HZ8" t="s">
        <v>69</v>
      </c>
      <c r="IA8">
        <v>584</v>
      </c>
      <c r="IB8" t="s">
        <v>157</v>
      </c>
      <c r="IC8" t="s">
        <v>69</v>
      </c>
      <c r="ID8" t="s">
        <v>75</v>
      </c>
      <c r="IE8" t="s">
        <v>69</v>
      </c>
      <c r="IF8">
        <v>155.15600000000001</v>
      </c>
      <c r="IG8" t="s">
        <v>69</v>
      </c>
      <c r="IH8" t="s">
        <v>69</v>
      </c>
      <c r="II8">
        <v>588</v>
      </c>
      <c r="IJ8" t="s">
        <v>72</v>
      </c>
      <c r="IK8" t="s">
        <v>69</v>
      </c>
      <c r="IL8" t="s">
        <v>71</v>
      </c>
      <c r="IM8" t="s">
        <v>69</v>
      </c>
      <c r="IN8">
        <v>131.17500000000001</v>
      </c>
      <c r="IO8" t="s">
        <v>69</v>
      </c>
      <c r="IP8" t="s">
        <v>69</v>
      </c>
      <c r="IQ8">
        <v>591</v>
      </c>
      <c r="IR8" t="s">
        <v>73</v>
      </c>
      <c r="IS8" t="s">
        <v>69</v>
      </c>
      <c r="IT8" t="s">
        <v>71</v>
      </c>
      <c r="IU8" t="s">
        <v>69</v>
      </c>
      <c r="IV8">
        <v>89.093999999999994</v>
      </c>
      <c r="IW8" t="s">
        <v>69</v>
      </c>
      <c r="IX8" t="s">
        <v>69</v>
      </c>
      <c r="IY8">
        <v>592</v>
      </c>
      <c r="IZ8" t="s">
        <v>73</v>
      </c>
      <c r="JA8" t="s">
        <v>69</v>
      </c>
      <c r="JB8" t="s">
        <v>71</v>
      </c>
      <c r="JC8" t="s">
        <v>69</v>
      </c>
      <c r="JD8">
        <v>89.093999999999994</v>
      </c>
      <c r="JE8" t="s">
        <v>69</v>
      </c>
      <c r="JF8" t="s">
        <v>69</v>
      </c>
      <c r="JG8">
        <v>599</v>
      </c>
      <c r="JH8" t="s">
        <v>73</v>
      </c>
      <c r="JI8" t="s">
        <v>69</v>
      </c>
      <c r="JJ8" t="s">
        <v>71</v>
      </c>
      <c r="JK8" t="s">
        <v>69</v>
      </c>
      <c r="JL8">
        <v>89.093999999999994</v>
      </c>
      <c r="JM8" t="s">
        <v>69</v>
      </c>
      <c r="JN8" t="s">
        <v>69</v>
      </c>
    </row>
    <row r="9" spans="1:274" x14ac:dyDescent="0.25">
      <c r="A9">
        <v>7</v>
      </c>
      <c r="B9" t="str">
        <f>HYPERLINK("http://www.ncbi.nlm.nih.gov/protein/XP_044107154.1","XP_044107154.1")</f>
        <v>XP_044107154.1</v>
      </c>
      <c r="C9">
        <v>44640</v>
      </c>
      <c r="D9" t="str">
        <f>HYPERLINK("http://www.ncbi.nlm.nih.gov/Taxonomy/Browser/wwwtax.cgi?mode=Info&amp;id=452646&amp;lvl=3&amp;lin=f&amp;keep=1&amp;srchmode=1&amp;unlock","452646")</f>
        <v>452646</v>
      </c>
      <c r="E9" t="s">
        <v>66</v>
      </c>
      <c r="F9" t="str">
        <f>HYPERLINK("http://www.ncbi.nlm.nih.gov/Taxonomy/Browser/wwwtax.cgi?mode=Info&amp;id=452646&amp;lvl=3&amp;lin=f&amp;keep=1&amp;srchmode=1&amp;unlock","Neogale vison")</f>
        <v>Neogale vison</v>
      </c>
      <c r="G9" t="s">
        <v>96</v>
      </c>
      <c r="H9" t="str">
        <f>HYPERLINK("http://www.ncbi.nlm.nih.gov/protein/XP_044107154.1","mitochondrial import receptor subunit TOM70")</f>
        <v>mitochondrial import receptor subunit TOM70</v>
      </c>
      <c r="I9" t="s">
        <v>270</v>
      </c>
      <c r="J9" t="s">
        <v>69</v>
      </c>
      <c r="K9">
        <v>216</v>
      </c>
      <c r="L9" t="s">
        <v>145</v>
      </c>
      <c r="M9" t="s">
        <v>69</v>
      </c>
      <c r="N9" t="s">
        <v>71</v>
      </c>
      <c r="O9" t="s">
        <v>69</v>
      </c>
      <c r="P9">
        <v>131.17500000000001</v>
      </c>
      <c r="Q9" t="s">
        <v>69</v>
      </c>
      <c r="R9" t="s">
        <v>69</v>
      </c>
      <c r="S9">
        <v>257</v>
      </c>
      <c r="T9" t="s">
        <v>151</v>
      </c>
      <c r="U9" t="s">
        <v>69</v>
      </c>
      <c r="V9" t="s">
        <v>152</v>
      </c>
      <c r="W9" t="s">
        <v>69</v>
      </c>
      <c r="X9">
        <v>165.19200000000001</v>
      </c>
      <c r="Y9" t="s">
        <v>69</v>
      </c>
      <c r="Z9" t="s">
        <v>69</v>
      </c>
      <c r="AA9">
        <v>260</v>
      </c>
      <c r="AB9" t="s">
        <v>155</v>
      </c>
      <c r="AC9" t="s">
        <v>69</v>
      </c>
      <c r="AD9" t="s">
        <v>150</v>
      </c>
      <c r="AE9" t="s">
        <v>69</v>
      </c>
      <c r="AF9">
        <v>105.093</v>
      </c>
      <c r="AG9" t="s">
        <v>69</v>
      </c>
      <c r="AH9" t="s">
        <v>69</v>
      </c>
      <c r="AI9">
        <v>261</v>
      </c>
      <c r="AJ9" t="s">
        <v>69</v>
      </c>
      <c r="AK9" t="s">
        <v>69</v>
      </c>
      <c r="AL9" t="s">
        <v>152</v>
      </c>
      <c r="AM9" t="s">
        <v>69</v>
      </c>
      <c r="AN9">
        <v>181.191</v>
      </c>
      <c r="AO9" t="s">
        <v>69</v>
      </c>
      <c r="AP9" t="s">
        <v>69</v>
      </c>
      <c r="AQ9">
        <v>341</v>
      </c>
      <c r="AR9" t="s">
        <v>72</v>
      </c>
      <c r="AS9" t="s">
        <v>69</v>
      </c>
      <c r="AT9" t="s">
        <v>71</v>
      </c>
      <c r="AU9" t="s">
        <v>69</v>
      </c>
      <c r="AV9">
        <v>131.17500000000001</v>
      </c>
      <c r="AW9" t="s">
        <v>69</v>
      </c>
      <c r="AX9" t="s">
        <v>69</v>
      </c>
      <c r="AY9">
        <v>342</v>
      </c>
      <c r="AZ9" t="s">
        <v>72</v>
      </c>
      <c r="BA9" t="s">
        <v>69</v>
      </c>
      <c r="BB9" t="s">
        <v>71</v>
      </c>
      <c r="BC9" t="s">
        <v>69</v>
      </c>
      <c r="BD9">
        <v>131.17500000000001</v>
      </c>
      <c r="BE9" t="s">
        <v>69</v>
      </c>
      <c r="BF9" t="s">
        <v>69</v>
      </c>
      <c r="BG9">
        <v>376</v>
      </c>
      <c r="BH9" t="s">
        <v>155</v>
      </c>
      <c r="BI9" t="s">
        <v>69</v>
      </c>
      <c r="BJ9" t="s">
        <v>150</v>
      </c>
      <c r="BK9" t="s">
        <v>69</v>
      </c>
      <c r="BL9">
        <v>105.093</v>
      </c>
      <c r="BM9" t="s">
        <v>69</v>
      </c>
      <c r="BN9" t="s">
        <v>69</v>
      </c>
      <c r="BO9">
        <v>379</v>
      </c>
      <c r="BP9" t="s">
        <v>116</v>
      </c>
      <c r="BQ9" t="s">
        <v>69</v>
      </c>
      <c r="BR9" t="s">
        <v>117</v>
      </c>
      <c r="BS9" t="s">
        <v>69</v>
      </c>
      <c r="BT9">
        <v>149.208</v>
      </c>
      <c r="BU9" t="s">
        <v>69</v>
      </c>
      <c r="BV9" t="s">
        <v>69</v>
      </c>
      <c r="BW9">
        <v>410</v>
      </c>
      <c r="BX9" t="s">
        <v>147</v>
      </c>
      <c r="BY9" t="s">
        <v>69</v>
      </c>
      <c r="BZ9" t="s">
        <v>148</v>
      </c>
      <c r="CA9" t="s">
        <v>69</v>
      </c>
      <c r="CB9">
        <v>146.14599999999999</v>
      </c>
      <c r="CC9" t="s">
        <v>69</v>
      </c>
      <c r="CD9" t="s">
        <v>69</v>
      </c>
      <c r="CE9">
        <v>411</v>
      </c>
      <c r="CF9" t="s">
        <v>72</v>
      </c>
      <c r="CG9" t="s">
        <v>69</v>
      </c>
      <c r="CH9" t="s">
        <v>71</v>
      </c>
      <c r="CI9" t="s">
        <v>69</v>
      </c>
      <c r="CJ9">
        <v>131.17500000000001</v>
      </c>
      <c r="CK9" t="s">
        <v>69</v>
      </c>
      <c r="CL9" t="s">
        <v>69</v>
      </c>
      <c r="CM9">
        <v>413</v>
      </c>
      <c r="CN9" t="s">
        <v>145</v>
      </c>
      <c r="CO9" t="s">
        <v>69</v>
      </c>
      <c r="CP9" t="s">
        <v>71</v>
      </c>
      <c r="CQ9" t="s">
        <v>69</v>
      </c>
      <c r="CR9">
        <v>131.17500000000001</v>
      </c>
      <c r="CS9" t="s">
        <v>69</v>
      </c>
      <c r="CT9" t="s">
        <v>69</v>
      </c>
      <c r="CU9">
        <v>415</v>
      </c>
      <c r="CV9" t="s">
        <v>72</v>
      </c>
      <c r="CW9" t="s">
        <v>69</v>
      </c>
      <c r="CX9" t="s">
        <v>71</v>
      </c>
      <c r="CY9" t="s">
        <v>69</v>
      </c>
      <c r="CZ9">
        <v>131.17500000000001</v>
      </c>
      <c r="DA9" t="s">
        <v>69</v>
      </c>
      <c r="DB9" t="s">
        <v>69</v>
      </c>
      <c r="DC9">
        <v>444</v>
      </c>
      <c r="DD9" t="s">
        <v>151</v>
      </c>
      <c r="DE9" t="s">
        <v>69</v>
      </c>
      <c r="DF9" t="s">
        <v>152</v>
      </c>
      <c r="DG9" t="s">
        <v>69</v>
      </c>
      <c r="DH9">
        <v>165.19200000000001</v>
      </c>
      <c r="DI9" t="s">
        <v>69</v>
      </c>
      <c r="DJ9" t="s">
        <v>69</v>
      </c>
      <c r="DK9">
        <v>481</v>
      </c>
      <c r="DL9" t="s">
        <v>73</v>
      </c>
      <c r="DM9" t="s">
        <v>69</v>
      </c>
      <c r="DN9" t="s">
        <v>71</v>
      </c>
      <c r="DO9" t="s">
        <v>69</v>
      </c>
      <c r="DP9">
        <v>89.093999999999994</v>
      </c>
      <c r="DQ9" t="s">
        <v>69</v>
      </c>
      <c r="DR9" t="s">
        <v>69</v>
      </c>
      <c r="DS9">
        <v>482</v>
      </c>
      <c r="DT9" t="s">
        <v>72</v>
      </c>
      <c r="DU9" t="s">
        <v>69</v>
      </c>
      <c r="DV9" t="s">
        <v>71</v>
      </c>
      <c r="DW9" t="s">
        <v>69</v>
      </c>
      <c r="DX9">
        <v>131.17500000000001</v>
      </c>
      <c r="DY9" t="s">
        <v>69</v>
      </c>
      <c r="DZ9" t="s">
        <v>69</v>
      </c>
      <c r="EA9">
        <v>512</v>
      </c>
      <c r="EB9" t="s">
        <v>149</v>
      </c>
      <c r="EC9" t="s">
        <v>69</v>
      </c>
      <c r="ED9" t="s">
        <v>150</v>
      </c>
      <c r="EE9" t="s">
        <v>69</v>
      </c>
      <c r="EF9">
        <v>119.119</v>
      </c>
      <c r="EG9" t="s">
        <v>69</v>
      </c>
      <c r="EH9" t="s">
        <v>69</v>
      </c>
      <c r="EI9">
        <v>516</v>
      </c>
      <c r="EJ9" t="s">
        <v>157</v>
      </c>
      <c r="EK9" t="s">
        <v>69</v>
      </c>
      <c r="EL9" t="s">
        <v>75</v>
      </c>
      <c r="EM9" t="s">
        <v>69</v>
      </c>
      <c r="EN9">
        <v>155.15600000000001</v>
      </c>
      <c r="EO9" t="s">
        <v>69</v>
      </c>
      <c r="EP9" t="s">
        <v>69</v>
      </c>
      <c r="EQ9">
        <v>519</v>
      </c>
      <c r="ER9" t="s">
        <v>72</v>
      </c>
      <c r="ES9" t="s">
        <v>69</v>
      </c>
      <c r="ET9" t="s">
        <v>71</v>
      </c>
      <c r="EU9" t="s">
        <v>69</v>
      </c>
      <c r="EV9">
        <v>131.17500000000001</v>
      </c>
      <c r="EW9" t="s">
        <v>69</v>
      </c>
      <c r="EX9" t="s">
        <v>69</v>
      </c>
      <c r="EY9">
        <v>522</v>
      </c>
      <c r="EZ9" t="s">
        <v>72</v>
      </c>
      <c r="FA9" t="s">
        <v>69</v>
      </c>
      <c r="FB9" t="s">
        <v>71</v>
      </c>
      <c r="FC9" t="s">
        <v>69</v>
      </c>
      <c r="FD9">
        <v>131.17500000000001</v>
      </c>
      <c r="FE9" t="s">
        <v>69</v>
      </c>
      <c r="FF9" t="s">
        <v>69</v>
      </c>
      <c r="FG9">
        <v>523</v>
      </c>
      <c r="FH9" t="s">
        <v>147</v>
      </c>
      <c r="FI9" t="s">
        <v>69</v>
      </c>
      <c r="FJ9" t="s">
        <v>148</v>
      </c>
      <c r="FK9" t="s">
        <v>69</v>
      </c>
      <c r="FL9">
        <v>146.14599999999999</v>
      </c>
      <c r="FM9" t="s">
        <v>69</v>
      </c>
      <c r="FN9" t="s">
        <v>69</v>
      </c>
      <c r="FO9">
        <v>547</v>
      </c>
      <c r="FP9" t="s">
        <v>151</v>
      </c>
      <c r="FQ9" t="s">
        <v>69</v>
      </c>
      <c r="FR9" t="s">
        <v>152</v>
      </c>
      <c r="FS9" t="s">
        <v>69</v>
      </c>
      <c r="FT9">
        <v>165.19200000000001</v>
      </c>
      <c r="FU9" t="s">
        <v>69</v>
      </c>
      <c r="FV9" t="s">
        <v>69</v>
      </c>
      <c r="FW9">
        <v>550</v>
      </c>
      <c r="FX9" t="s">
        <v>119</v>
      </c>
      <c r="FY9" t="s">
        <v>69</v>
      </c>
      <c r="FZ9" t="s">
        <v>120</v>
      </c>
      <c r="GA9" t="s">
        <v>69</v>
      </c>
      <c r="GB9">
        <v>147.131</v>
      </c>
      <c r="GC9" t="s">
        <v>69</v>
      </c>
      <c r="GD9" t="s">
        <v>69</v>
      </c>
      <c r="GE9">
        <v>551</v>
      </c>
      <c r="GF9" t="s">
        <v>149</v>
      </c>
      <c r="GG9" t="s">
        <v>69</v>
      </c>
      <c r="GH9" t="s">
        <v>150</v>
      </c>
      <c r="GI9" t="s">
        <v>69</v>
      </c>
      <c r="GJ9">
        <v>119.119</v>
      </c>
      <c r="GK9" t="s">
        <v>69</v>
      </c>
      <c r="GL9" t="s">
        <v>69</v>
      </c>
      <c r="GM9">
        <v>554</v>
      </c>
      <c r="GN9" t="s">
        <v>149</v>
      </c>
      <c r="GO9" t="s">
        <v>69</v>
      </c>
      <c r="GP9" t="s">
        <v>150</v>
      </c>
      <c r="GQ9" t="s">
        <v>69</v>
      </c>
      <c r="GR9">
        <v>119.119</v>
      </c>
      <c r="GS9" t="s">
        <v>69</v>
      </c>
      <c r="GT9" t="s">
        <v>69</v>
      </c>
      <c r="GU9">
        <v>558</v>
      </c>
      <c r="GV9" t="s">
        <v>147</v>
      </c>
      <c r="GW9" t="s">
        <v>69</v>
      </c>
      <c r="GX9" t="s">
        <v>148</v>
      </c>
      <c r="GY9" t="s">
        <v>69</v>
      </c>
      <c r="GZ9">
        <v>146.14599999999999</v>
      </c>
      <c r="HA9" t="s">
        <v>69</v>
      </c>
      <c r="HB9" t="s">
        <v>69</v>
      </c>
      <c r="HC9">
        <v>560</v>
      </c>
      <c r="HD9" t="s">
        <v>70</v>
      </c>
      <c r="HE9" t="s">
        <v>69</v>
      </c>
      <c r="HF9" t="s">
        <v>71</v>
      </c>
      <c r="HG9" t="s">
        <v>69</v>
      </c>
      <c r="HH9">
        <v>75.066999999999993</v>
      </c>
      <c r="HI9" t="s">
        <v>69</v>
      </c>
      <c r="HJ9" t="s">
        <v>69</v>
      </c>
      <c r="HK9">
        <v>562</v>
      </c>
      <c r="HL9" t="s">
        <v>116</v>
      </c>
      <c r="HM9" t="s">
        <v>69</v>
      </c>
      <c r="HN9" t="s">
        <v>117</v>
      </c>
      <c r="HO9" t="s">
        <v>69</v>
      </c>
      <c r="HP9">
        <v>149.208</v>
      </c>
      <c r="HQ9" t="s">
        <v>69</v>
      </c>
      <c r="HR9" t="s">
        <v>69</v>
      </c>
      <c r="HS9">
        <v>580</v>
      </c>
      <c r="HT9" t="s">
        <v>116</v>
      </c>
      <c r="HU9" t="s">
        <v>69</v>
      </c>
      <c r="HV9" t="s">
        <v>117</v>
      </c>
      <c r="HW9" t="s">
        <v>69</v>
      </c>
      <c r="HX9">
        <v>149.208</v>
      </c>
      <c r="HY9" t="s">
        <v>69</v>
      </c>
      <c r="HZ9" t="s">
        <v>69</v>
      </c>
      <c r="IA9">
        <v>584</v>
      </c>
      <c r="IB9" t="s">
        <v>157</v>
      </c>
      <c r="IC9" t="s">
        <v>69</v>
      </c>
      <c r="ID9" t="s">
        <v>75</v>
      </c>
      <c r="IE9" t="s">
        <v>69</v>
      </c>
      <c r="IF9">
        <v>155.15600000000001</v>
      </c>
      <c r="IG9" t="s">
        <v>69</v>
      </c>
      <c r="IH9" t="s">
        <v>69</v>
      </c>
      <c r="II9">
        <v>588</v>
      </c>
      <c r="IJ9" t="s">
        <v>72</v>
      </c>
      <c r="IK9" t="s">
        <v>69</v>
      </c>
      <c r="IL9" t="s">
        <v>71</v>
      </c>
      <c r="IM9" t="s">
        <v>69</v>
      </c>
      <c r="IN9">
        <v>131.17500000000001</v>
      </c>
      <c r="IO9" t="s">
        <v>69</v>
      </c>
      <c r="IP9" t="s">
        <v>69</v>
      </c>
      <c r="IQ9">
        <v>591</v>
      </c>
      <c r="IR9" t="s">
        <v>73</v>
      </c>
      <c r="IS9" t="s">
        <v>69</v>
      </c>
      <c r="IT9" t="s">
        <v>71</v>
      </c>
      <c r="IU9" t="s">
        <v>69</v>
      </c>
      <c r="IV9">
        <v>89.093999999999994</v>
      </c>
      <c r="IW9" t="s">
        <v>69</v>
      </c>
      <c r="IX9" t="s">
        <v>69</v>
      </c>
      <c r="IY9">
        <v>592</v>
      </c>
      <c r="IZ9" t="s">
        <v>73</v>
      </c>
      <c r="JA9" t="s">
        <v>69</v>
      </c>
      <c r="JB9" t="s">
        <v>71</v>
      </c>
      <c r="JC9" t="s">
        <v>69</v>
      </c>
      <c r="JD9">
        <v>89.093999999999994</v>
      </c>
      <c r="JE9" t="s">
        <v>69</v>
      </c>
      <c r="JF9" t="s">
        <v>69</v>
      </c>
      <c r="JG9">
        <v>599</v>
      </c>
      <c r="JH9" t="s">
        <v>73</v>
      </c>
      <c r="JI9" t="s">
        <v>69</v>
      </c>
      <c r="JJ9" t="s">
        <v>71</v>
      </c>
      <c r="JK9" t="s">
        <v>69</v>
      </c>
      <c r="JL9">
        <v>89.093999999999994</v>
      </c>
      <c r="JM9" t="s">
        <v>69</v>
      </c>
      <c r="JN9" t="s">
        <v>69</v>
      </c>
    </row>
    <row r="10" spans="1:274" x14ac:dyDescent="0.25">
      <c r="A10">
        <v>7</v>
      </c>
      <c r="B10" t="str">
        <f>HYPERLINK("http://www.ncbi.nlm.nih.gov/protein/XP_045858522.1","XP_045858522.1")</f>
        <v>XP_045858522.1</v>
      </c>
      <c r="C10">
        <v>50752</v>
      </c>
      <c r="D10" t="str">
        <f>HYPERLINK("http://www.ncbi.nlm.nih.gov/Taxonomy/Browser/wwwtax.cgi?mode=Info&amp;id=9662&amp;lvl=3&amp;lin=f&amp;keep=1&amp;srchmode=1&amp;unlock","9662")</f>
        <v>9662</v>
      </c>
      <c r="E10" t="s">
        <v>66</v>
      </c>
      <c r="F10" t="str">
        <f>HYPERLINK("http://www.ncbi.nlm.nih.gov/Taxonomy/Browser/wwwtax.cgi?mode=Info&amp;id=9662&amp;lvl=3&amp;lin=f&amp;keep=1&amp;srchmode=1&amp;unlock","Meles meles")</f>
        <v>Meles meles</v>
      </c>
      <c r="G10" t="s">
        <v>99</v>
      </c>
      <c r="H10" t="str">
        <f>HYPERLINK("http://www.ncbi.nlm.nih.gov/protein/XP_045858522.1","mitochondrial import receptor subunit TOM70")</f>
        <v>mitochondrial import receptor subunit TOM70</v>
      </c>
      <c r="I10" t="s">
        <v>270</v>
      </c>
      <c r="J10" t="s">
        <v>69</v>
      </c>
      <c r="K10">
        <v>216</v>
      </c>
      <c r="L10" t="s">
        <v>145</v>
      </c>
      <c r="M10" t="s">
        <v>69</v>
      </c>
      <c r="N10" t="s">
        <v>71</v>
      </c>
      <c r="O10" t="s">
        <v>69</v>
      </c>
      <c r="P10">
        <v>131.17500000000001</v>
      </c>
      <c r="Q10" t="s">
        <v>69</v>
      </c>
      <c r="R10" t="s">
        <v>69</v>
      </c>
      <c r="S10">
        <v>257</v>
      </c>
      <c r="T10" t="s">
        <v>151</v>
      </c>
      <c r="U10" t="s">
        <v>69</v>
      </c>
      <c r="V10" t="s">
        <v>152</v>
      </c>
      <c r="W10" t="s">
        <v>69</v>
      </c>
      <c r="X10">
        <v>165.19200000000001</v>
      </c>
      <c r="Y10" t="s">
        <v>69</v>
      </c>
      <c r="Z10" t="s">
        <v>69</v>
      </c>
      <c r="AA10">
        <v>260</v>
      </c>
      <c r="AB10" t="s">
        <v>155</v>
      </c>
      <c r="AC10" t="s">
        <v>69</v>
      </c>
      <c r="AD10" t="s">
        <v>150</v>
      </c>
      <c r="AE10" t="s">
        <v>69</v>
      </c>
      <c r="AF10">
        <v>105.093</v>
      </c>
      <c r="AG10" t="s">
        <v>69</v>
      </c>
      <c r="AH10" t="s">
        <v>69</v>
      </c>
      <c r="AI10">
        <v>261</v>
      </c>
      <c r="AJ10" t="s">
        <v>69</v>
      </c>
      <c r="AK10" t="s">
        <v>69</v>
      </c>
      <c r="AL10" t="s">
        <v>152</v>
      </c>
      <c r="AM10" t="s">
        <v>69</v>
      </c>
      <c r="AN10">
        <v>181.191</v>
      </c>
      <c r="AO10" t="s">
        <v>69</v>
      </c>
      <c r="AP10" t="s">
        <v>69</v>
      </c>
      <c r="AQ10">
        <v>341</v>
      </c>
      <c r="AR10" t="s">
        <v>72</v>
      </c>
      <c r="AS10" t="s">
        <v>69</v>
      </c>
      <c r="AT10" t="s">
        <v>71</v>
      </c>
      <c r="AU10" t="s">
        <v>69</v>
      </c>
      <c r="AV10">
        <v>131.17500000000001</v>
      </c>
      <c r="AW10" t="s">
        <v>69</v>
      </c>
      <c r="AX10" t="s">
        <v>69</v>
      </c>
      <c r="AY10">
        <v>342</v>
      </c>
      <c r="AZ10" t="s">
        <v>72</v>
      </c>
      <c r="BA10" t="s">
        <v>69</v>
      </c>
      <c r="BB10" t="s">
        <v>71</v>
      </c>
      <c r="BC10" t="s">
        <v>69</v>
      </c>
      <c r="BD10">
        <v>131.17500000000001</v>
      </c>
      <c r="BE10" t="s">
        <v>69</v>
      </c>
      <c r="BF10" t="s">
        <v>69</v>
      </c>
      <c r="BG10">
        <v>376</v>
      </c>
      <c r="BH10" t="s">
        <v>155</v>
      </c>
      <c r="BI10" t="s">
        <v>69</v>
      </c>
      <c r="BJ10" t="s">
        <v>150</v>
      </c>
      <c r="BK10" t="s">
        <v>69</v>
      </c>
      <c r="BL10">
        <v>105.093</v>
      </c>
      <c r="BM10" t="s">
        <v>69</v>
      </c>
      <c r="BN10" t="s">
        <v>69</v>
      </c>
      <c r="BO10">
        <v>379</v>
      </c>
      <c r="BP10" t="s">
        <v>116</v>
      </c>
      <c r="BQ10" t="s">
        <v>69</v>
      </c>
      <c r="BR10" t="s">
        <v>117</v>
      </c>
      <c r="BS10" t="s">
        <v>69</v>
      </c>
      <c r="BT10">
        <v>149.208</v>
      </c>
      <c r="BU10" t="s">
        <v>69</v>
      </c>
      <c r="BV10" t="s">
        <v>69</v>
      </c>
      <c r="BW10">
        <v>410</v>
      </c>
      <c r="BX10" t="s">
        <v>147</v>
      </c>
      <c r="BY10" t="s">
        <v>69</v>
      </c>
      <c r="BZ10" t="s">
        <v>148</v>
      </c>
      <c r="CA10" t="s">
        <v>69</v>
      </c>
      <c r="CB10">
        <v>146.14599999999999</v>
      </c>
      <c r="CC10" t="s">
        <v>69</v>
      </c>
      <c r="CD10" t="s">
        <v>69</v>
      </c>
      <c r="CE10">
        <v>411</v>
      </c>
      <c r="CF10" t="s">
        <v>72</v>
      </c>
      <c r="CG10" t="s">
        <v>69</v>
      </c>
      <c r="CH10" t="s">
        <v>71</v>
      </c>
      <c r="CI10" t="s">
        <v>69</v>
      </c>
      <c r="CJ10">
        <v>131.17500000000001</v>
      </c>
      <c r="CK10" t="s">
        <v>69</v>
      </c>
      <c r="CL10" t="s">
        <v>69</v>
      </c>
      <c r="CM10">
        <v>413</v>
      </c>
      <c r="CN10" t="s">
        <v>145</v>
      </c>
      <c r="CO10" t="s">
        <v>69</v>
      </c>
      <c r="CP10" t="s">
        <v>71</v>
      </c>
      <c r="CQ10" t="s">
        <v>69</v>
      </c>
      <c r="CR10">
        <v>131.17500000000001</v>
      </c>
      <c r="CS10" t="s">
        <v>69</v>
      </c>
      <c r="CT10" t="s">
        <v>69</v>
      </c>
      <c r="CU10">
        <v>415</v>
      </c>
      <c r="CV10" t="s">
        <v>72</v>
      </c>
      <c r="CW10" t="s">
        <v>69</v>
      </c>
      <c r="CX10" t="s">
        <v>71</v>
      </c>
      <c r="CY10" t="s">
        <v>69</v>
      </c>
      <c r="CZ10">
        <v>131.17500000000001</v>
      </c>
      <c r="DA10" t="s">
        <v>69</v>
      </c>
      <c r="DB10" t="s">
        <v>69</v>
      </c>
      <c r="DC10">
        <v>444</v>
      </c>
      <c r="DD10" t="s">
        <v>151</v>
      </c>
      <c r="DE10" t="s">
        <v>69</v>
      </c>
      <c r="DF10" t="s">
        <v>152</v>
      </c>
      <c r="DG10" t="s">
        <v>69</v>
      </c>
      <c r="DH10">
        <v>165.19200000000001</v>
      </c>
      <c r="DI10" t="s">
        <v>69</v>
      </c>
      <c r="DJ10" t="s">
        <v>69</v>
      </c>
      <c r="DK10">
        <v>481</v>
      </c>
      <c r="DL10" t="s">
        <v>73</v>
      </c>
      <c r="DM10" t="s">
        <v>69</v>
      </c>
      <c r="DN10" t="s">
        <v>71</v>
      </c>
      <c r="DO10" t="s">
        <v>69</v>
      </c>
      <c r="DP10">
        <v>89.093999999999994</v>
      </c>
      <c r="DQ10" t="s">
        <v>69</v>
      </c>
      <c r="DR10" t="s">
        <v>69</v>
      </c>
      <c r="DS10">
        <v>482</v>
      </c>
      <c r="DT10" t="s">
        <v>72</v>
      </c>
      <c r="DU10" t="s">
        <v>69</v>
      </c>
      <c r="DV10" t="s">
        <v>71</v>
      </c>
      <c r="DW10" t="s">
        <v>69</v>
      </c>
      <c r="DX10">
        <v>131.17500000000001</v>
      </c>
      <c r="DY10" t="s">
        <v>69</v>
      </c>
      <c r="DZ10" t="s">
        <v>69</v>
      </c>
      <c r="EA10">
        <v>512</v>
      </c>
      <c r="EB10" t="s">
        <v>149</v>
      </c>
      <c r="EC10" t="s">
        <v>69</v>
      </c>
      <c r="ED10" t="s">
        <v>150</v>
      </c>
      <c r="EE10" t="s">
        <v>69</v>
      </c>
      <c r="EF10">
        <v>119.119</v>
      </c>
      <c r="EG10" t="s">
        <v>69</v>
      </c>
      <c r="EH10" t="s">
        <v>69</v>
      </c>
      <c r="EI10">
        <v>516</v>
      </c>
      <c r="EJ10" t="s">
        <v>157</v>
      </c>
      <c r="EK10" t="s">
        <v>69</v>
      </c>
      <c r="EL10" t="s">
        <v>75</v>
      </c>
      <c r="EM10" t="s">
        <v>69</v>
      </c>
      <c r="EN10">
        <v>155.15600000000001</v>
      </c>
      <c r="EO10" t="s">
        <v>69</v>
      </c>
      <c r="EP10" t="s">
        <v>69</v>
      </c>
      <c r="EQ10">
        <v>519</v>
      </c>
      <c r="ER10" t="s">
        <v>72</v>
      </c>
      <c r="ES10" t="s">
        <v>69</v>
      </c>
      <c r="ET10" t="s">
        <v>71</v>
      </c>
      <c r="EU10" t="s">
        <v>69</v>
      </c>
      <c r="EV10">
        <v>131.17500000000001</v>
      </c>
      <c r="EW10" t="s">
        <v>69</v>
      </c>
      <c r="EX10" t="s">
        <v>69</v>
      </c>
      <c r="EY10">
        <v>522</v>
      </c>
      <c r="EZ10" t="s">
        <v>72</v>
      </c>
      <c r="FA10" t="s">
        <v>69</v>
      </c>
      <c r="FB10" t="s">
        <v>71</v>
      </c>
      <c r="FC10" t="s">
        <v>69</v>
      </c>
      <c r="FD10">
        <v>131.17500000000001</v>
      </c>
      <c r="FE10" t="s">
        <v>69</v>
      </c>
      <c r="FF10" t="s">
        <v>69</v>
      </c>
      <c r="FG10">
        <v>523</v>
      </c>
      <c r="FH10" t="s">
        <v>147</v>
      </c>
      <c r="FI10" t="s">
        <v>69</v>
      </c>
      <c r="FJ10" t="s">
        <v>148</v>
      </c>
      <c r="FK10" t="s">
        <v>69</v>
      </c>
      <c r="FL10">
        <v>146.14599999999999</v>
      </c>
      <c r="FM10" t="s">
        <v>69</v>
      </c>
      <c r="FN10" t="s">
        <v>69</v>
      </c>
      <c r="FO10">
        <v>547</v>
      </c>
      <c r="FP10" t="s">
        <v>151</v>
      </c>
      <c r="FQ10" t="s">
        <v>69</v>
      </c>
      <c r="FR10" t="s">
        <v>152</v>
      </c>
      <c r="FS10" t="s">
        <v>69</v>
      </c>
      <c r="FT10">
        <v>165.19200000000001</v>
      </c>
      <c r="FU10" t="s">
        <v>69</v>
      </c>
      <c r="FV10" t="s">
        <v>69</v>
      </c>
      <c r="FW10">
        <v>550</v>
      </c>
      <c r="FX10" t="s">
        <v>119</v>
      </c>
      <c r="FY10" t="s">
        <v>69</v>
      </c>
      <c r="FZ10" t="s">
        <v>120</v>
      </c>
      <c r="GA10" t="s">
        <v>69</v>
      </c>
      <c r="GB10">
        <v>147.131</v>
      </c>
      <c r="GC10" t="s">
        <v>69</v>
      </c>
      <c r="GD10" t="s">
        <v>69</v>
      </c>
      <c r="GE10">
        <v>551</v>
      </c>
      <c r="GF10" t="s">
        <v>149</v>
      </c>
      <c r="GG10" t="s">
        <v>69</v>
      </c>
      <c r="GH10" t="s">
        <v>150</v>
      </c>
      <c r="GI10" t="s">
        <v>69</v>
      </c>
      <c r="GJ10">
        <v>119.119</v>
      </c>
      <c r="GK10" t="s">
        <v>69</v>
      </c>
      <c r="GL10" t="s">
        <v>69</v>
      </c>
      <c r="GM10">
        <v>554</v>
      </c>
      <c r="GN10" t="s">
        <v>149</v>
      </c>
      <c r="GO10" t="s">
        <v>69</v>
      </c>
      <c r="GP10" t="s">
        <v>150</v>
      </c>
      <c r="GQ10" t="s">
        <v>69</v>
      </c>
      <c r="GR10">
        <v>119.119</v>
      </c>
      <c r="GS10" t="s">
        <v>69</v>
      </c>
      <c r="GT10" t="s">
        <v>69</v>
      </c>
      <c r="GU10">
        <v>558</v>
      </c>
      <c r="GV10" t="s">
        <v>147</v>
      </c>
      <c r="GW10" t="s">
        <v>69</v>
      </c>
      <c r="GX10" t="s">
        <v>148</v>
      </c>
      <c r="GY10" t="s">
        <v>69</v>
      </c>
      <c r="GZ10">
        <v>146.14599999999999</v>
      </c>
      <c r="HA10" t="s">
        <v>69</v>
      </c>
      <c r="HB10" t="s">
        <v>69</v>
      </c>
      <c r="HC10">
        <v>560</v>
      </c>
      <c r="HD10" t="s">
        <v>70</v>
      </c>
      <c r="HE10" t="s">
        <v>69</v>
      </c>
      <c r="HF10" t="s">
        <v>71</v>
      </c>
      <c r="HG10" t="s">
        <v>69</v>
      </c>
      <c r="HH10">
        <v>75.066999999999993</v>
      </c>
      <c r="HI10" t="s">
        <v>69</v>
      </c>
      <c r="HJ10" t="s">
        <v>69</v>
      </c>
      <c r="HK10">
        <v>562</v>
      </c>
      <c r="HL10" t="s">
        <v>116</v>
      </c>
      <c r="HM10" t="s">
        <v>69</v>
      </c>
      <c r="HN10" t="s">
        <v>117</v>
      </c>
      <c r="HO10" t="s">
        <v>69</v>
      </c>
      <c r="HP10">
        <v>149.208</v>
      </c>
      <c r="HQ10" t="s">
        <v>69</v>
      </c>
      <c r="HR10" t="s">
        <v>69</v>
      </c>
      <c r="HS10">
        <v>580</v>
      </c>
      <c r="HT10" t="s">
        <v>116</v>
      </c>
      <c r="HU10" t="s">
        <v>69</v>
      </c>
      <c r="HV10" t="s">
        <v>117</v>
      </c>
      <c r="HW10" t="s">
        <v>69</v>
      </c>
      <c r="HX10">
        <v>149.208</v>
      </c>
      <c r="HY10" t="s">
        <v>69</v>
      </c>
      <c r="HZ10" t="s">
        <v>69</v>
      </c>
      <c r="IA10">
        <v>584</v>
      </c>
      <c r="IB10" t="s">
        <v>157</v>
      </c>
      <c r="IC10" t="s">
        <v>69</v>
      </c>
      <c r="ID10" t="s">
        <v>75</v>
      </c>
      <c r="IE10" t="s">
        <v>69</v>
      </c>
      <c r="IF10">
        <v>155.15600000000001</v>
      </c>
      <c r="IG10" t="s">
        <v>69</v>
      </c>
      <c r="IH10" t="s">
        <v>69</v>
      </c>
      <c r="II10">
        <v>588</v>
      </c>
      <c r="IJ10" t="s">
        <v>72</v>
      </c>
      <c r="IK10" t="s">
        <v>69</v>
      </c>
      <c r="IL10" t="s">
        <v>71</v>
      </c>
      <c r="IM10" t="s">
        <v>69</v>
      </c>
      <c r="IN10">
        <v>131.17500000000001</v>
      </c>
      <c r="IO10" t="s">
        <v>69</v>
      </c>
      <c r="IP10" t="s">
        <v>69</v>
      </c>
      <c r="IQ10">
        <v>591</v>
      </c>
      <c r="IR10" t="s">
        <v>73</v>
      </c>
      <c r="IS10" t="s">
        <v>69</v>
      </c>
      <c r="IT10" t="s">
        <v>71</v>
      </c>
      <c r="IU10" t="s">
        <v>69</v>
      </c>
      <c r="IV10">
        <v>89.093999999999994</v>
      </c>
      <c r="IW10" t="s">
        <v>69</v>
      </c>
      <c r="IX10" t="s">
        <v>69</v>
      </c>
      <c r="IY10">
        <v>592</v>
      </c>
      <c r="IZ10" t="s">
        <v>73</v>
      </c>
      <c r="JA10" t="s">
        <v>69</v>
      </c>
      <c r="JB10" t="s">
        <v>71</v>
      </c>
      <c r="JC10" t="s">
        <v>69</v>
      </c>
      <c r="JD10">
        <v>89.093999999999994</v>
      </c>
      <c r="JE10" t="s">
        <v>69</v>
      </c>
      <c r="JF10" t="s">
        <v>69</v>
      </c>
      <c r="JG10">
        <v>599</v>
      </c>
      <c r="JH10" t="s">
        <v>73</v>
      </c>
      <c r="JI10" t="s">
        <v>69</v>
      </c>
      <c r="JJ10" t="s">
        <v>71</v>
      </c>
      <c r="JK10" t="s">
        <v>69</v>
      </c>
      <c r="JL10">
        <v>89.093999999999994</v>
      </c>
      <c r="JM10" t="s">
        <v>69</v>
      </c>
      <c r="JN10" t="s">
        <v>69</v>
      </c>
    </row>
    <row r="11" spans="1:274" x14ac:dyDescent="0.25">
      <c r="A11">
        <v>7</v>
      </c>
      <c r="B11" t="str">
        <f>HYPERLINK("http://www.ncbi.nlm.nih.gov/protein/XP_016000189.1","XP_016000189.1")</f>
        <v>XP_016000189.1</v>
      </c>
      <c r="C11">
        <v>117142</v>
      </c>
      <c r="D11" t="str">
        <f>HYPERLINK("http://www.ncbi.nlm.nih.gov/Taxonomy/Browser/wwwtax.cgi?mode=Info&amp;id=9407&amp;lvl=3&amp;lin=f&amp;keep=1&amp;srchmode=1&amp;unlock","9407")</f>
        <v>9407</v>
      </c>
      <c r="E11" t="s">
        <v>66</v>
      </c>
      <c r="F11" t="str">
        <f>HYPERLINK("http://www.ncbi.nlm.nih.gov/Taxonomy/Browser/wwwtax.cgi?mode=Info&amp;id=9407&amp;lvl=3&amp;lin=f&amp;keep=1&amp;srchmode=1&amp;unlock","Rousettus aegyptiacus")</f>
        <v>Rousettus aegyptiacus</v>
      </c>
      <c r="G11" t="s">
        <v>103</v>
      </c>
      <c r="H11" t="str">
        <f>HYPERLINK("http://www.ncbi.nlm.nih.gov/protein/XP_016000189.1","mitochondrial import receptor subunit TOM70")</f>
        <v>mitochondrial import receptor subunit TOM70</v>
      </c>
      <c r="I11" t="s">
        <v>270</v>
      </c>
      <c r="J11" t="s">
        <v>69</v>
      </c>
      <c r="K11">
        <v>216</v>
      </c>
      <c r="L11" t="s">
        <v>145</v>
      </c>
      <c r="M11" t="s">
        <v>69</v>
      </c>
      <c r="N11" t="s">
        <v>71</v>
      </c>
      <c r="O11" t="s">
        <v>69</v>
      </c>
      <c r="P11">
        <v>131.17500000000001</v>
      </c>
      <c r="Q11" t="s">
        <v>69</v>
      </c>
      <c r="R11" t="s">
        <v>69</v>
      </c>
      <c r="S11">
        <v>257</v>
      </c>
      <c r="T11" t="s">
        <v>151</v>
      </c>
      <c r="U11" t="s">
        <v>69</v>
      </c>
      <c r="V11" t="s">
        <v>152</v>
      </c>
      <c r="W11" t="s">
        <v>69</v>
      </c>
      <c r="X11">
        <v>165.19200000000001</v>
      </c>
      <c r="Y11" t="s">
        <v>69</v>
      </c>
      <c r="Z11" t="s">
        <v>69</v>
      </c>
      <c r="AA11">
        <v>260</v>
      </c>
      <c r="AB11" t="s">
        <v>155</v>
      </c>
      <c r="AC11" t="s">
        <v>69</v>
      </c>
      <c r="AD11" t="s">
        <v>150</v>
      </c>
      <c r="AE11" t="s">
        <v>69</v>
      </c>
      <c r="AF11">
        <v>105.093</v>
      </c>
      <c r="AG11" t="s">
        <v>69</v>
      </c>
      <c r="AH11" t="s">
        <v>69</v>
      </c>
      <c r="AI11">
        <v>261</v>
      </c>
      <c r="AJ11" t="s">
        <v>69</v>
      </c>
      <c r="AK11" t="s">
        <v>69</v>
      </c>
      <c r="AL11" t="s">
        <v>152</v>
      </c>
      <c r="AM11" t="s">
        <v>69</v>
      </c>
      <c r="AN11">
        <v>181.191</v>
      </c>
      <c r="AO11" t="s">
        <v>69</v>
      </c>
      <c r="AP11" t="s">
        <v>69</v>
      </c>
      <c r="AQ11">
        <v>341</v>
      </c>
      <c r="AR11" t="s">
        <v>72</v>
      </c>
      <c r="AS11" t="s">
        <v>69</v>
      </c>
      <c r="AT11" t="s">
        <v>71</v>
      </c>
      <c r="AU11" t="s">
        <v>69</v>
      </c>
      <c r="AV11">
        <v>131.17500000000001</v>
      </c>
      <c r="AW11" t="s">
        <v>69</v>
      </c>
      <c r="AX11" t="s">
        <v>69</v>
      </c>
      <c r="AY11">
        <v>342</v>
      </c>
      <c r="AZ11" t="s">
        <v>72</v>
      </c>
      <c r="BA11" t="s">
        <v>69</v>
      </c>
      <c r="BB11" t="s">
        <v>71</v>
      </c>
      <c r="BC11" t="s">
        <v>69</v>
      </c>
      <c r="BD11">
        <v>131.17500000000001</v>
      </c>
      <c r="BE11" t="s">
        <v>69</v>
      </c>
      <c r="BF11" t="s">
        <v>69</v>
      </c>
      <c r="BG11">
        <v>376</v>
      </c>
      <c r="BH11" t="s">
        <v>155</v>
      </c>
      <c r="BI11" t="s">
        <v>69</v>
      </c>
      <c r="BJ11" t="s">
        <v>150</v>
      </c>
      <c r="BK11" t="s">
        <v>69</v>
      </c>
      <c r="BL11">
        <v>105.093</v>
      </c>
      <c r="BM11" t="s">
        <v>69</v>
      </c>
      <c r="BN11" t="s">
        <v>69</v>
      </c>
      <c r="BO11">
        <v>379</v>
      </c>
      <c r="BP11" t="s">
        <v>116</v>
      </c>
      <c r="BQ11" t="s">
        <v>69</v>
      </c>
      <c r="BR11" t="s">
        <v>117</v>
      </c>
      <c r="BS11" t="s">
        <v>69</v>
      </c>
      <c r="BT11">
        <v>149.208</v>
      </c>
      <c r="BU11" t="s">
        <v>69</v>
      </c>
      <c r="BV11" t="s">
        <v>69</v>
      </c>
      <c r="BW11">
        <v>410</v>
      </c>
      <c r="BX11" t="s">
        <v>147</v>
      </c>
      <c r="BY11" t="s">
        <v>69</v>
      </c>
      <c r="BZ11" t="s">
        <v>148</v>
      </c>
      <c r="CA11" t="s">
        <v>69</v>
      </c>
      <c r="CB11">
        <v>146.14599999999999</v>
      </c>
      <c r="CC11" t="s">
        <v>69</v>
      </c>
      <c r="CD11" t="s">
        <v>69</v>
      </c>
      <c r="CE11">
        <v>411</v>
      </c>
      <c r="CF11" t="s">
        <v>72</v>
      </c>
      <c r="CG11" t="s">
        <v>69</v>
      </c>
      <c r="CH11" t="s">
        <v>71</v>
      </c>
      <c r="CI11" t="s">
        <v>69</v>
      </c>
      <c r="CJ11">
        <v>131.17500000000001</v>
      </c>
      <c r="CK11" t="s">
        <v>69</v>
      </c>
      <c r="CL11" t="s">
        <v>69</v>
      </c>
      <c r="CM11">
        <v>413</v>
      </c>
      <c r="CN11" t="s">
        <v>145</v>
      </c>
      <c r="CO11" t="s">
        <v>69</v>
      </c>
      <c r="CP11" t="s">
        <v>71</v>
      </c>
      <c r="CQ11" t="s">
        <v>69</v>
      </c>
      <c r="CR11">
        <v>131.17500000000001</v>
      </c>
      <c r="CS11" t="s">
        <v>69</v>
      </c>
      <c r="CT11" t="s">
        <v>69</v>
      </c>
      <c r="CU11">
        <v>415</v>
      </c>
      <c r="CV11" t="s">
        <v>72</v>
      </c>
      <c r="CW11" t="s">
        <v>69</v>
      </c>
      <c r="CX11" t="s">
        <v>71</v>
      </c>
      <c r="CY11" t="s">
        <v>69</v>
      </c>
      <c r="CZ11">
        <v>131.17500000000001</v>
      </c>
      <c r="DA11" t="s">
        <v>69</v>
      </c>
      <c r="DB11" t="s">
        <v>69</v>
      </c>
      <c r="DC11">
        <v>444</v>
      </c>
      <c r="DD11" t="s">
        <v>151</v>
      </c>
      <c r="DE11" t="s">
        <v>69</v>
      </c>
      <c r="DF11" t="s">
        <v>152</v>
      </c>
      <c r="DG11" t="s">
        <v>69</v>
      </c>
      <c r="DH11">
        <v>165.19200000000001</v>
      </c>
      <c r="DI11" t="s">
        <v>69</v>
      </c>
      <c r="DJ11" t="s">
        <v>69</v>
      </c>
      <c r="DK11">
        <v>481</v>
      </c>
      <c r="DL11" t="s">
        <v>73</v>
      </c>
      <c r="DM11" t="s">
        <v>69</v>
      </c>
      <c r="DN11" t="s">
        <v>71</v>
      </c>
      <c r="DO11" t="s">
        <v>69</v>
      </c>
      <c r="DP11">
        <v>89.093999999999994</v>
      </c>
      <c r="DQ11" t="s">
        <v>69</v>
      </c>
      <c r="DR11" t="s">
        <v>69</v>
      </c>
      <c r="DS11">
        <v>482</v>
      </c>
      <c r="DT11" t="s">
        <v>72</v>
      </c>
      <c r="DU11" t="s">
        <v>69</v>
      </c>
      <c r="DV11" t="s">
        <v>71</v>
      </c>
      <c r="DW11" t="s">
        <v>69</v>
      </c>
      <c r="DX11">
        <v>131.17500000000001</v>
      </c>
      <c r="DY11" t="s">
        <v>69</v>
      </c>
      <c r="DZ11" t="s">
        <v>69</v>
      </c>
      <c r="EA11">
        <v>512</v>
      </c>
      <c r="EB11" t="s">
        <v>149</v>
      </c>
      <c r="EC11" t="s">
        <v>69</v>
      </c>
      <c r="ED11" t="s">
        <v>150</v>
      </c>
      <c r="EE11" t="s">
        <v>69</v>
      </c>
      <c r="EF11">
        <v>119.119</v>
      </c>
      <c r="EG11" t="s">
        <v>69</v>
      </c>
      <c r="EH11" t="s">
        <v>69</v>
      </c>
      <c r="EI11">
        <v>516</v>
      </c>
      <c r="EJ11" t="s">
        <v>157</v>
      </c>
      <c r="EK11" t="s">
        <v>69</v>
      </c>
      <c r="EL11" t="s">
        <v>75</v>
      </c>
      <c r="EM11" t="s">
        <v>69</v>
      </c>
      <c r="EN11">
        <v>155.15600000000001</v>
      </c>
      <c r="EO11" t="s">
        <v>69</v>
      </c>
      <c r="EP11" t="s">
        <v>69</v>
      </c>
      <c r="EQ11">
        <v>519</v>
      </c>
      <c r="ER11" t="s">
        <v>72</v>
      </c>
      <c r="ES11" t="s">
        <v>69</v>
      </c>
      <c r="ET11" t="s">
        <v>71</v>
      </c>
      <c r="EU11" t="s">
        <v>69</v>
      </c>
      <c r="EV11">
        <v>131.17500000000001</v>
      </c>
      <c r="EW11" t="s">
        <v>69</v>
      </c>
      <c r="EX11" t="s">
        <v>69</v>
      </c>
      <c r="EY11">
        <v>522</v>
      </c>
      <c r="EZ11" t="s">
        <v>72</v>
      </c>
      <c r="FA11" t="s">
        <v>69</v>
      </c>
      <c r="FB11" t="s">
        <v>71</v>
      </c>
      <c r="FC11" t="s">
        <v>69</v>
      </c>
      <c r="FD11">
        <v>131.17500000000001</v>
      </c>
      <c r="FE11" t="s">
        <v>69</v>
      </c>
      <c r="FF11" t="s">
        <v>69</v>
      </c>
      <c r="FG11">
        <v>523</v>
      </c>
      <c r="FH11" t="s">
        <v>147</v>
      </c>
      <c r="FI11" t="s">
        <v>69</v>
      </c>
      <c r="FJ11" t="s">
        <v>148</v>
      </c>
      <c r="FK11" t="s">
        <v>69</v>
      </c>
      <c r="FL11">
        <v>146.14599999999999</v>
      </c>
      <c r="FM11" t="s">
        <v>69</v>
      </c>
      <c r="FN11" t="s">
        <v>69</v>
      </c>
      <c r="FO11">
        <v>547</v>
      </c>
      <c r="FP11" t="s">
        <v>151</v>
      </c>
      <c r="FQ11" t="s">
        <v>69</v>
      </c>
      <c r="FR11" t="s">
        <v>152</v>
      </c>
      <c r="FS11" t="s">
        <v>69</v>
      </c>
      <c r="FT11">
        <v>165.19200000000001</v>
      </c>
      <c r="FU11" t="s">
        <v>69</v>
      </c>
      <c r="FV11" t="s">
        <v>69</v>
      </c>
      <c r="FW11">
        <v>550</v>
      </c>
      <c r="FX11" t="s">
        <v>119</v>
      </c>
      <c r="FY11" t="s">
        <v>69</v>
      </c>
      <c r="FZ11" t="s">
        <v>120</v>
      </c>
      <c r="GA11" t="s">
        <v>69</v>
      </c>
      <c r="GB11">
        <v>147.131</v>
      </c>
      <c r="GC11" t="s">
        <v>69</v>
      </c>
      <c r="GD11" t="s">
        <v>69</v>
      </c>
      <c r="GE11">
        <v>551</v>
      </c>
      <c r="GF11" t="s">
        <v>149</v>
      </c>
      <c r="GG11" t="s">
        <v>69</v>
      </c>
      <c r="GH11" t="s">
        <v>150</v>
      </c>
      <c r="GI11" t="s">
        <v>69</v>
      </c>
      <c r="GJ11">
        <v>119.119</v>
      </c>
      <c r="GK11" t="s">
        <v>69</v>
      </c>
      <c r="GL11" t="s">
        <v>69</v>
      </c>
      <c r="GM11">
        <v>554</v>
      </c>
      <c r="GN11" t="s">
        <v>149</v>
      </c>
      <c r="GO11" t="s">
        <v>69</v>
      </c>
      <c r="GP11" t="s">
        <v>150</v>
      </c>
      <c r="GQ11" t="s">
        <v>69</v>
      </c>
      <c r="GR11">
        <v>119.119</v>
      </c>
      <c r="GS11" t="s">
        <v>69</v>
      </c>
      <c r="GT11" t="s">
        <v>69</v>
      </c>
      <c r="GU11">
        <v>558</v>
      </c>
      <c r="GV11" t="s">
        <v>147</v>
      </c>
      <c r="GW11" t="s">
        <v>69</v>
      </c>
      <c r="GX11" t="s">
        <v>148</v>
      </c>
      <c r="GY11" t="s">
        <v>69</v>
      </c>
      <c r="GZ11">
        <v>146.14599999999999</v>
      </c>
      <c r="HA11" t="s">
        <v>69</v>
      </c>
      <c r="HB11" t="s">
        <v>69</v>
      </c>
      <c r="HC11">
        <v>560</v>
      </c>
      <c r="HD11" t="s">
        <v>70</v>
      </c>
      <c r="HE11" t="s">
        <v>69</v>
      </c>
      <c r="HF11" t="s">
        <v>71</v>
      </c>
      <c r="HG11" t="s">
        <v>69</v>
      </c>
      <c r="HH11">
        <v>75.066999999999993</v>
      </c>
      <c r="HI11" t="s">
        <v>69</v>
      </c>
      <c r="HJ11" t="s">
        <v>69</v>
      </c>
      <c r="HK11">
        <v>562</v>
      </c>
      <c r="HL11" t="s">
        <v>116</v>
      </c>
      <c r="HM11" t="s">
        <v>69</v>
      </c>
      <c r="HN11" t="s">
        <v>117</v>
      </c>
      <c r="HO11" t="s">
        <v>69</v>
      </c>
      <c r="HP11">
        <v>149.208</v>
      </c>
      <c r="HQ11" t="s">
        <v>69</v>
      </c>
      <c r="HR11" t="s">
        <v>69</v>
      </c>
      <c r="HS11">
        <v>580</v>
      </c>
      <c r="HT11" t="s">
        <v>116</v>
      </c>
      <c r="HU11" t="s">
        <v>69</v>
      </c>
      <c r="HV11" t="s">
        <v>117</v>
      </c>
      <c r="HW11" t="s">
        <v>69</v>
      </c>
      <c r="HX11">
        <v>149.208</v>
      </c>
      <c r="HY11" t="s">
        <v>69</v>
      </c>
      <c r="HZ11" t="s">
        <v>69</v>
      </c>
      <c r="IA11">
        <v>584</v>
      </c>
      <c r="IB11" t="s">
        <v>157</v>
      </c>
      <c r="IC11" t="s">
        <v>69</v>
      </c>
      <c r="ID11" t="s">
        <v>75</v>
      </c>
      <c r="IE11" t="s">
        <v>69</v>
      </c>
      <c r="IF11">
        <v>155.15600000000001</v>
      </c>
      <c r="IG11" t="s">
        <v>69</v>
      </c>
      <c r="IH11" t="s">
        <v>69</v>
      </c>
      <c r="II11">
        <v>588</v>
      </c>
      <c r="IJ11" t="s">
        <v>72</v>
      </c>
      <c r="IK11" t="s">
        <v>69</v>
      </c>
      <c r="IL11" t="s">
        <v>71</v>
      </c>
      <c r="IM11" t="s">
        <v>69</v>
      </c>
      <c r="IN11">
        <v>131.17500000000001</v>
      </c>
      <c r="IO11" t="s">
        <v>69</v>
      </c>
      <c r="IP11" t="s">
        <v>69</v>
      </c>
      <c r="IQ11">
        <v>591</v>
      </c>
      <c r="IR11" t="s">
        <v>73</v>
      </c>
      <c r="IS11" t="s">
        <v>69</v>
      </c>
      <c r="IT11" t="s">
        <v>71</v>
      </c>
      <c r="IU11" t="s">
        <v>69</v>
      </c>
      <c r="IV11">
        <v>89.093999999999994</v>
      </c>
      <c r="IW11" t="s">
        <v>69</v>
      </c>
      <c r="IX11" t="s">
        <v>69</v>
      </c>
      <c r="IY11">
        <v>592</v>
      </c>
      <c r="IZ11" t="s">
        <v>73</v>
      </c>
      <c r="JA11" t="s">
        <v>69</v>
      </c>
      <c r="JB11" t="s">
        <v>71</v>
      </c>
      <c r="JC11" t="s">
        <v>69</v>
      </c>
      <c r="JD11">
        <v>89.093999999999994</v>
      </c>
      <c r="JE11" t="s">
        <v>69</v>
      </c>
      <c r="JF11" t="s">
        <v>69</v>
      </c>
      <c r="JG11">
        <v>599</v>
      </c>
      <c r="JH11" t="s">
        <v>73</v>
      </c>
      <c r="JI11" t="s">
        <v>69</v>
      </c>
      <c r="JJ11" t="s">
        <v>71</v>
      </c>
      <c r="JK11" t="s">
        <v>69</v>
      </c>
      <c r="JL11">
        <v>89.093999999999994</v>
      </c>
      <c r="JM11" t="s">
        <v>69</v>
      </c>
      <c r="JN11" t="s">
        <v>69</v>
      </c>
    </row>
    <row r="12" spans="1:274" x14ac:dyDescent="0.25">
      <c r="A12">
        <v>7</v>
      </c>
      <c r="B12" t="str">
        <f>HYPERLINK("http://www.ncbi.nlm.nih.gov/protein/XP_003991631.1","XP_003991631.1")</f>
        <v>XP_003991631.1</v>
      </c>
      <c r="C12">
        <v>74287</v>
      </c>
      <c r="D12" t="str">
        <f>HYPERLINK("http://www.ncbi.nlm.nih.gov/Taxonomy/Browser/wwwtax.cgi?mode=Info&amp;id=9685&amp;lvl=3&amp;lin=f&amp;keep=1&amp;srchmode=1&amp;unlock","9685")</f>
        <v>9685</v>
      </c>
      <c r="E12" t="s">
        <v>66</v>
      </c>
      <c r="F12" t="str">
        <f>HYPERLINK("http://www.ncbi.nlm.nih.gov/Taxonomy/Browser/wwwtax.cgi?mode=Info&amp;id=9685&amp;lvl=3&amp;lin=f&amp;keep=1&amp;srchmode=1&amp;unlock","Felis catus")</f>
        <v>Felis catus</v>
      </c>
      <c r="G12" t="s">
        <v>86</v>
      </c>
      <c r="H12" t="str">
        <f>HYPERLINK("http://www.ncbi.nlm.nih.gov/protein/XP_003991631.1","mitochondrial import receptor subunit TOM70")</f>
        <v>mitochondrial import receptor subunit TOM70</v>
      </c>
      <c r="I12" t="s">
        <v>270</v>
      </c>
      <c r="J12" t="s">
        <v>69</v>
      </c>
      <c r="K12">
        <v>216</v>
      </c>
      <c r="L12" t="s">
        <v>145</v>
      </c>
      <c r="M12" t="s">
        <v>69</v>
      </c>
      <c r="N12" t="s">
        <v>71</v>
      </c>
      <c r="O12" t="s">
        <v>69</v>
      </c>
      <c r="P12">
        <v>131.17500000000001</v>
      </c>
      <c r="Q12" t="s">
        <v>69</v>
      </c>
      <c r="R12" t="s">
        <v>69</v>
      </c>
      <c r="S12">
        <v>257</v>
      </c>
      <c r="T12" t="s">
        <v>151</v>
      </c>
      <c r="U12" t="s">
        <v>69</v>
      </c>
      <c r="V12" t="s">
        <v>152</v>
      </c>
      <c r="W12" t="s">
        <v>69</v>
      </c>
      <c r="X12">
        <v>165.19200000000001</v>
      </c>
      <c r="Y12" t="s">
        <v>69</v>
      </c>
      <c r="Z12" t="s">
        <v>69</v>
      </c>
      <c r="AA12">
        <v>260</v>
      </c>
      <c r="AB12" t="s">
        <v>155</v>
      </c>
      <c r="AC12" t="s">
        <v>69</v>
      </c>
      <c r="AD12" t="s">
        <v>150</v>
      </c>
      <c r="AE12" t="s">
        <v>69</v>
      </c>
      <c r="AF12">
        <v>105.093</v>
      </c>
      <c r="AG12" t="s">
        <v>69</v>
      </c>
      <c r="AH12" t="s">
        <v>69</v>
      </c>
      <c r="AI12">
        <v>261</v>
      </c>
      <c r="AJ12" t="s">
        <v>69</v>
      </c>
      <c r="AK12" t="s">
        <v>69</v>
      </c>
      <c r="AL12" t="s">
        <v>152</v>
      </c>
      <c r="AM12" t="s">
        <v>69</v>
      </c>
      <c r="AN12">
        <v>181.191</v>
      </c>
      <c r="AO12" t="s">
        <v>69</v>
      </c>
      <c r="AP12" t="s">
        <v>69</v>
      </c>
      <c r="AQ12">
        <v>341</v>
      </c>
      <c r="AR12" t="s">
        <v>72</v>
      </c>
      <c r="AS12" t="s">
        <v>69</v>
      </c>
      <c r="AT12" t="s">
        <v>71</v>
      </c>
      <c r="AU12" t="s">
        <v>69</v>
      </c>
      <c r="AV12">
        <v>131.17500000000001</v>
      </c>
      <c r="AW12" t="s">
        <v>69</v>
      </c>
      <c r="AX12" t="s">
        <v>69</v>
      </c>
      <c r="AY12">
        <v>342</v>
      </c>
      <c r="AZ12" t="s">
        <v>72</v>
      </c>
      <c r="BA12" t="s">
        <v>69</v>
      </c>
      <c r="BB12" t="s">
        <v>71</v>
      </c>
      <c r="BC12" t="s">
        <v>69</v>
      </c>
      <c r="BD12">
        <v>131.17500000000001</v>
      </c>
      <c r="BE12" t="s">
        <v>69</v>
      </c>
      <c r="BF12" t="s">
        <v>69</v>
      </c>
      <c r="BG12">
        <v>376</v>
      </c>
      <c r="BH12" t="s">
        <v>155</v>
      </c>
      <c r="BI12" t="s">
        <v>69</v>
      </c>
      <c r="BJ12" t="s">
        <v>150</v>
      </c>
      <c r="BK12" t="s">
        <v>69</v>
      </c>
      <c r="BL12">
        <v>105.093</v>
      </c>
      <c r="BM12" t="s">
        <v>69</v>
      </c>
      <c r="BN12" t="s">
        <v>69</v>
      </c>
      <c r="BO12">
        <v>379</v>
      </c>
      <c r="BP12" t="s">
        <v>116</v>
      </c>
      <c r="BQ12" t="s">
        <v>69</v>
      </c>
      <c r="BR12" t="s">
        <v>117</v>
      </c>
      <c r="BS12" t="s">
        <v>69</v>
      </c>
      <c r="BT12">
        <v>149.208</v>
      </c>
      <c r="BU12" t="s">
        <v>69</v>
      </c>
      <c r="BV12" t="s">
        <v>69</v>
      </c>
      <c r="BW12">
        <v>410</v>
      </c>
      <c r="BX12" t="s">
        <v>147</v>
      </c>
      <c r="BY12" t="s">
        <v>69</v>
      </c>
      <c r="BZ12" t="s">
        <v>148</v>
      </c>
      <c r="CA12" t="s">
        <v>69</v>
      </c>
      <c r="CB12">
        <v>146.14599999999999</v>
      </c>
      <c r="CC12" t="s">
        <v>69</v>
      </c>
      <c r="CD12" t="s">
        <v>69</v>
      </c>
      <c r="CE12">
        <v>411</v>
      </c>
      <c r="CF12" t="s">
        <v>72</v>
      </c>
      <c r="CG12" t="s">
        <v>69</v>
      </c>
      <c r="CH12" t="s">
        <v>71</v>
      </c>
      <c r="CI12" t="s">
        <v>69</v>
      </c>
      <c r="CJ12">
        <v>131.17500000000001</v>
      </c>
      <c r="CK12" t="s">
        <v>69</v>
      </c>
      <c r="CL12" t="s">
        <v>69</v>
      </c>
      <c r="CM12">
        <v>413</v>
      </c>
      <c r="CN12" t="s">
        <v>145</v>
      </c>
      <c r="CO12" t="s">
        <v>69</v>
      </c>
      <c r="CP12" t="s">
        <v>71</v>
      </c>
      <c r="CQ12" t="s">
        <v>69</v>
      </c>
      <c r="CR12">
        <v>131.17500000000001</v>
      </c>
      <c r="CS12" t="s">
        <v>69</v>
      </c>
      <c r="CT12" t="s">
        <v>69</v>
      </c>
      <c r="CU12">
        <v>415</v>
      </c>
      <c r="CV12" t="s">
        <v>72</v>
      </c>
      <c r="CW12" t="s">
        <v>69</v>
      </c>
      <c r="CX12" t="s">
        <v>71</v>
      </c>
      <c r="CY12" t="s">
        <v>69</v>
      </c>
      <c r="CZ12">
        <v>131.17500000000001</v>
      </c>
      <c r="DA12" t="s">
        <v>69</v>
      </c>
      <c r="DB12" t="s">
        <v>69</v>
      </c>
      <c r="DC12">
        <v>444</v>
      </c>
      <c r="DD12" t="s">
        <v>151</v>
      </c>
      <c r="DE12" t="s">
        <v>69</v>
      </c>
      <c r="DF12" t="s">
        <v>152</v>
      </c>
      <c r="DG12" t="s">
        <v>69</v>
      </c>
      <c r="DH12">
        <v>165.19200000000001</v>
      </c>
      <c r="DI12" t="s">
        <v>69</v>
      </c>
      <c r="DJ12" t="s">
        <v>69</v>
      </c>
      <c r="DK12">
        <v>481</v>
      </c>
      <c r="DL12" t="s">
        <v>73</v>
      </c>
      <c r="DM12" t="s">
        <v>69</v>
      </c>
      <c r="DN12" t="s">
        <v>71</v>
      </c>
      <c r="DO12" t="s">
        <v>69</v>
      </c>
      <c r="DP12">
        <v>89.093999999999994</v>
      </c>
      <c r="DQ12" t="s">
        <v>69</v>
      </c>
      <c r="DR12" t="s">
        <v>69</v>
      </c>
      <c r="DS12">
        <v>482</v>
      </c>
      <c r="DT12" t="s">
        <v>72</v>
      </c>
      <c r="DU12" t="s">
        <v>69</v>
      </c>
      <c r="DV12" t="s">
        <v>71</v>
      </c>
      <c r="DW12" t="s">
        <v>69</v>
      </c>
      <c r="DX12">
        <v>131.17500000000001</v>
      </c>
      <c r="DY12" t="s">
        <v>69</v>
      </c>
      <c r="DZ12" t="s">
        <v>69</v>
      </c>
      <c r="EA12">
        <v>512</v>
      </c>
      <c r="EB12" t="s">
        <v>149</v>
      </c>
      <c r="EC12" t="s">
        <v>69</v>
      </c>
      <c r="ED12" t="s">
        <v>150</v>
      </c>
      <c r="EE12" t="s">
        <v>69</v>
      </c>
      <c r="EF12">
        <v>119.119</v>
      </c>
      <c r="EG12" t="s">
        <v>69</v>
      </c>
      <c r="EH12" t="s">
        <v>69</v>
      </c>
      <c r="EI12">
        <v>516</v>
      </c>
      <c r="EJ12" t="s">
        <v>157</v>
      </c>
      <c r="EK12" t="s">
        <v>69</v>
      </c>
      <c r="EL12" t="s">
        <v>75</v>
      </c>
      <c r="EM12" t="s">
        <v>69</v>
      </c>
      <c r="EN12">
        <v>155.15600000000001</v>
      </c>
      <c r="EO12" t="s">
        <v>69</v>
      </c>
      <c r="EP12" t="s">
        <v>69</v>
      </c>
      <c r="EQ12">
        <v>519</v>
      </c>
      <c r="ER12" t="s">
        <v>72</v>
      </c>
      <c r="ES12" t="s">
        <v>69</v>
      </c>
      <c r="ET12" t="s">
        <v>71</v>
      </c>
      <c r="EU12" t="s">
        <v>69</v>
      </c>
      <c r="EV12">
        <v>131.17500000000001</v>
      </c>
      <c r="EW12" t="s">
        <v>69</v>
      </c>
      <c r="EX12" t="s">
        <v>69</v>
      </c>
      <c r="EY12">
        <v>522</v>
      </c>
      <c r="EZ12" t="s">
        <v>72</v>
      </c>
      <c r="FA12" t="s">
        <v>69</v>
      </c>
      <c r="FB12" t="s">
        <v>71</v>
      </c>
      <c r="FC12" t="s">
        <v>69</v>
      </c>
      <c r="FD12">
        <v>131.17500000000001</v>
      </c>
      <c r="FE12" t="s">
        <v>69</v>
      </c>
      <c r="FF12" t="s">
        <v>69</v>
      </c>
      <c r="FG12">
        <v>523</v>
      </c>
      <c r="FH12" t="s">
        <v>147</v>
      </c>
      <c r="FI12" t="s">
        <v>69</v>
      </c>
      <c r="FJ12" t="s">
        <v>148</v>
      </c>
      <c r="FK12" t="s">
        <v>69</v>
      </c>
      <c r="FL12">
        <v>146.14599999999999</v>
      </c>
      <c r="FM12" t="s">
        <v>69</v>
      </c>
      <c r="FN12" t="s">
        <v>69</v>
      </c>
      <c r="FO12">
        <v>547</v>
      </c>
      <c r="FP12" t="s">
        <v>151</v>
      </c>
      <c r="FQ12" t="s">
        <v>69</v>
      </c>
      <c r="FR12" t="s">
        <v>152</v>
      </c>
      <c r="FS12" t="s">
        <v>69</v>
      </c>
      <c r="FT12">
        <v>165.19200000000001</v>
      </c>
      <c r="FU12" t="s">
        <v>69</v>
      </c>
      <c r="FV12" t="s">
        <v>69</v>
      </c>
      <c r="FW12">
        <v>550</v>
      </c>
      <c r="FX12" t="s">
        <v>119</v>
      </c>
      <c r="FY12" t="s">
        <v>69</v>
      </c>
      <c r="FZ12" t="s">
        <v>120</v>
      </c>
      <c r="GA12" t="s">
        <v>69</v>
      </c>
      <c r="GB12">
        <v>147.131</v>
      </c>
      <c r="GC12" t="s">
        <v>69</v>
      </c>
      <c r="GD12" t="s">
        <v>69</v>
      </c>
      <c r="GE12">
        <v>551</v>
      </c>
      <c r="GF12" t="s">
        <v>149</v>
      </c>
      <c r="GG12" t="s">
        <v>69</v>
      </c>
      <c r="GH12" t="s">
        <v>150</v>
      </c>
      <c r="GI12" t="s">
        <v>69</v>
      </c>
      <c r="GJ12">
        <v>119.119</v>
      </c>
      <c r="GK12" t="s">
        <v>69</v>
      </c>
      <c r="GL12" t="s">
        <v>69</v>
      </c>
      <c r="GM12">
        <v>554</v>
      </c>
      <c r="GN12" t="s">
        <v>149</v>
      </c>
      <c r="GO12" t="s">
        <v>69</v>
      </c>
      <c r="GP12" t="s">
        <v>150</v>
      </c>
      <c r="GQ12" t="s">
        <v>69</v>
      </c>
      <c r="GR12">
        <v>119.119</v>
      </c>
      <c r="GS12" t="s">
        <v>69</v>
      </c>
      <c r="GT12" t="s">
        <v>69</v>
      </c>
      <c r="GU12">
        <v>558</v>
      </c>
      <c r="GV12" t="s">
        <v>147</v>
      </c>
      <c r="GW12" t="s">
        <v>69</v>
      </c>
      <c r="GX12" t="s">
        <v>148</v>
      </c>
      <c r="GY12" t="s">
        <v>69</v>
      </c>
      <c r="GZ12">
        <v>146.14599999999999</v>
      </c>
      <c r="HA12" t="s">
        <v>69</v>
      </c>
      <c r="HB12" t="s">
        <v>69</v>
      </c>
      <c r="HC12">
        <v>560</v>
      </c>
      <c r="HD12" t="s">
        <v>70</v>
      </c>
      <c r="HE12" t="s">
        <v>69</v>
      </c>
      <c r="HF12" t="s">
        <v>71</v>
      </c>
      <c r="HG12" t="s">
        <v>69</v>
      </c>
      <c r="HH12">
        <v>75.066999999999993</v>
      </c>
      <c r="HI12" t="s">
        <v>69</v>
      </c>
      <c r="HJ12" t="s">
        <v>69</v>
      </c>
      <c r="HK12">
        <v>562</v>
      </c>
      <c r="HL12" t="s">
        <v>116</v>
      </c>
      <c r="HM12" t="s">
        <v>69</v>
      </c>
      <c r="HN12" t="s">
        <v>117</v>
      </c>
      <c r="HO12" t="s">
        <v>69</v>
      </c>
      <c r="HP12">
        <v>149.208</v>
      </c>
      <c r="HQ12" t="s">
        <v>69</v>
      </c>
      <c r="HR12" t="s">
        <v>69</v>
      </c>
      <c r="HS12">
        <v>580</v>
      </c>
      <c r="HT12" t="s">
        <v>116</v>
      </c>
      <c r="HU12" t="s">
        <v>69</v>
      </c>
      <c r="HV12" t="s">
        <v>117</v>
      </c>
      <c r="HW12" t="s">
        <v>69</v>
      </c>
      <c r="HX12">
        <v>149.208</v>
      </c>
      <c r="HY12" t="s">
        <v>69</v>
      </c>
      <c r="HZ12" t="s">
        <v>69</v>
      </c>
      <c r="IA12">
        <v>584</v>
      </c>
      <c r="IB12" t="s">
        <v>157</v>
      </c>
      <c r="IC12" t="s">
        <v>69</v>
      </c>
      <c r="ID12" t="s">
        <v>75</v>
      </c>
      <c r="IE12" t="s">
        <v>69</v>
      </c>
      <c r="IF12">
        <v>155.15600000000001</v>
      </c>
      <c r="IG12" t="s">
        <v>69</v>
      </c>
      <c r="IH12" t="s">
        <v>69</v>
      </c>
      <c r="II12">
        <v>588</v>
      </c>
      <c r="IJ12" t="s">
        <v>72</v>
      </c>
      <c r="IK12" t="s">
        <v>69</v>
      </c>
      <c r="IL12" t="s">
        <v>71</v>
      </c>
      <c r="IM12" t="s">
        <v>69</v>
      </c>
      <c r="IN12">
        <v>131.17500000000001</v>
      </c>
      <c r="IO12" t="s">
        <v>69</v>
      </c>
      <c r="IP12" t="s">
        <v>69</v>
      </c>
      <c r="IQ12">
        <v>591</v>
      </c>
      <c r="IR12" t="s">
        <v>73</v>
      </c>
      <c r="IS12" t="s">
        <v>69</v>
      </c>
      <c r="IT12" t="s">
        <v>71</v>
      </c>
      <c r="IU12" t="s">
        <v>69</v>
      </c>
      <c r="IV12">
        <v>89.093999999999994</v>
      </c>
      <c r="IW12" t="s">
        <v>69</v>
      </c>
      <c r="IX12" t="s">
        <v>69</v>
      </c>
      <c r="IY12">
        <v>592</v>
      </c>
      <c r="IZ12" t="s">
        <v>73</v>
      </c>
      <c r="JA12" t="s">
        <v>69</v>
      </c>
      <c r="JB12" t="s">
        <v>71</v>
      </c>
      <c r="JC12" t="s">
        <v>69</v>
      </c>
      <c r="JD12">
        <v>89.093999999999994</v>
      </c>
      <c r="JE12" t="s">
        <v>69</v>
      </c>
      <c r="JF12" t="s">
        <v>69</v>
      </c>
      <c r="JG12">
        <v>599</v>
      </c>
      <c r="JH12" t="s">
        <v>73</v>
      </c>
      <c r="JI12" t="s">
        <v>69</v>
      </c>
      <c r="JJ12" t="s">
        <v>71</v>
      </c>
      <c r="JK12" t="s">
        <v>69</v>
      </c>
      <c r="JL12">
        <v>89.093999999999994</v>
      </c>
      <c r="JM12" t="s">
        <v>69</v>
      </c>
      <c r="JN12" t="s">
        <v>69</v>
      </c>
    </row>
    <row r="13" spans="1:274" x14ac:dyDescent="0.25">
      <c r="A13">
        <v>7</v>
      </c>
      <c r="B13" t="str">
        <f>HYPERLINK("http://www.ncbi.nlm.nih.gov/protein/XP_042811247.1","XP_042811247.1")</f>
        <v>XP_042811247.1</v>
      </c>
      <c r="C13">
        <v>53677</v>
      </c>
      <c r="D13" t="str">
        <f>HYPERLINK("http://www.ncbi.nlm.nih.gov/Taxonomy/Browser/wwwtax.cgi?mode=Info&amp;id=9689&amp;lvl=3&amp;lin=f&amp;keep=1&amp;srchmode=1&amp;unlock","9689")</f>
        <v>9689</v>
      </c>
      <c r="E13" t="s">
        <v>66</v>
      </c>
      <c r="F13" t="str">
        <f>HYPERLINK("http://www.ncbi.nlm.nih.gov/Taxonomy/Browser/wwwtax.cgi?mode=Info&amp;id=9689&amp;lvl=3&amp;lin=f&amp;keep=1&amp;srchmode=1&amp;unlock","Panthera leo")</f>
        <v>Panthera leo</v>
      </c>
      <c r="G13" t="s">
        <v>90</v>
      </c>
      <c r="H13" t="str">
        <f>HYPERLINK("http://www.ncbi.nlm.nih.gov/protein/XP_042811247.1","mitochondrial import receptor subunit TOM70")</f>
        <v>mitochondrial import receptor subunit TOM70</v>
      </c>
      <c r="I13" t="s">
        <v>270</v>
      </c>
      <c r="J13" t="s">
        <v>69</v>
      </c>
      <c r="K13">
        <v>216</v>
      </c>
      <c r="L13" t="s">
        <v>145</v>
      </c>
      <c r="M13" t="s">
        <v>69</v>
      </c>
      <c r="N13" t="s">
        <v>71</v>
      </c>
      <c r="O13" t="s">
        <v>69</v>
      </c>
      <c r="P13">
        <v>131.17500000000001</v>
      </c>
      <c r="Q13" t="s">
        <v>69</v>
      </c>
      <c r="R13" t="s">
        <v>69</v>
      </c>
      <c r="S13">
        <v>257</v>
      </c>
      <c r="T13" t="s">
        <v>151</v>
      </c>
      <c r="U13" t="s">
        <v>69</v>
      </c>
      <c r="V13" t="s">
        <v>152</v>
      </c>
      <c r="W13" t="s">
        <v>69</v>
      </c>
      <c r="X13">
        <v>165.19200000000001</v>
      </c>
      <c r="Y13" t="s">
        <v>69</v>
      </c>
      <c r="Z13" t="s">
        <v>69</v>
      </c>
      <c r="AA13">
        <v>260</v>
      </c>
      <c r="AB13" t="s">
        <v>155</v>
      </c>
      <c r="AC13" t="s">
        <v>69</v>
      </c>
      <c r="AD13" t="s">
        <v>150</v>
      </c>
      <c r="AE13" t="s">
        <v>69</v>
      </c>
      <c r="AF13">
        <v>105.093</v>
      </c>
      <c r="AG13" t="s">
        <v>69</v>
      </c>
      <c r="AH13" t="s">
        <v>69</v>
      </c>
      <c r="AI13">
        <v>261</v>
      </c>
      <c r="AJ13" t="s">
        <v>69</v>
      </c>
      <c r="AK13" t="s">
        <v>69</v>
      </c>
      <c r="AL13" t="s">
        <v>152</v>
      </c>
      <c r="AM13" t="s">
        <v>69</v>
      </c>
      <c r="AN13">
        <v>181.191</v>
      </c>
      <c r="AO13" t="s">
        <v>69</v>
      </c>
      <c r="AP13" t="s">
        <v>69</v>
      </c>
      <c r="AQ13">
        <v>341</v>
      </c>
      <c r="AR13" t="s">
        <v>72</v>
      </c>
      <c r="AS13" t="s">
        <v>69</v>
      </c>
      <c r="AT13" t="s">
        <v>71</v>
      </c>
      <c r="AU13" t="s">
        <v>69</v>
      </c>
      <c r="AV13">
        <v>131.17500000000001</v>
      </c>
      <c r="AW13" t="s">
        <v>69</v>
      </c>
      <c r="AX13" t="s">
        <v>69</v>
      </c>
      <c r="AY13">
        <v>342</v>
      </c>
      <c r="AZ13" t="s">
        <v>72</v>
      </c>
      <c r="BA13" t="s">
        <v>69</v>
      </c>
      <c r="BB13" t="s">
        <v>71</v>
      </c>
      <c r="BC13" t="s">
        <v>69</v>
      </c>
      <c r="BD13">
        <v>131.17500000000001</v>
      </c>
      <c r="BE13" t="s">
        <v>69</v>
      </c>
      <c r="BF13" t="s">
        <v>69</v>
      </c>
      <c r="BG13">
        <v>376</v>
      </c>
      <c r="BH13" t="s">
        <v>155</v>
      </c>
      <c r="BI13" t="s">
        <v>69</v>
      </c>
      <c r="BJ13" t="s">
        <v>150</v>
      </c>
      <c r="BK13" t="s">
        <v>69</v>
      </c>
      <c r="BL13">
        <v>105.093</v>
      </c>
      <c r="BM13" t="s">
        <v>69</v>
      </c>
      <c r="BN13" t="s">
        <v>69</v>
      </c>
      <c r="BO13">
        <v>379</v>
      </c>
      <c r="BP13" t="s">
        <v>116</v>
      </c>
      <c r="BQ13" t="s">
        <v>69</v>
      </c>
      <c r="BR13" t="s">
        <v>117</v>
      </c>
      <c r="BS13" t="s">
        <v>69</v>
      </c>
      <c r="BT13">
        <v>149.208</v>
      </c>
      <c r="BU13" t="s">
        <v>69</v>
      </c>
      <c r="BV13" t="s">
        <v>69</v>
      </c>
      <c r="BW13">
        <v>410</v>
      </c>
      <c r="BX13" t="s">
        <v>147</v>
      </c>
      <c r="BY13" t="s">
        <v>69</v>
      </c>
      <c r="BZ13" t="s">
        <v>148</v>
      </c>
      <c r="CA13" t="s">
        <v>69</v>
      </c>
      <c r="CB13">
        <v>146.14599999999999</v>
      </c>
      <c r="CC13" t="s">
        <v>69</v>
      </c>
      <c r="CD13" t="s">
        <v>69</v>
      </c>
      <c r="CE13">
        <v>411</v>
      </c>
      <c r="CF13" t="s">
        <v>72</v>
      </c>
      <c r="CG13" t="s">
        <v>69</v>
      </c>
      <c r="CH13" t="s">
        <v>71</v>
      </c>
      <c r="CI13" t="s">
        <v>69</v>
      </c>
      <c r="CJ13">
        <v>131.17500000000001</v>
      </c>
      <c r="CK13" t="s">
        <v>69</v>
      </c>
      <c r="CL13" t="s">
        <v>69</v>
      </c>
      <c r="CM13">
        <v>413</v>
      </c>
      <c r="CN13" t="s">
        <v>145</v>
      </c>
      <c r="CO13" t="s">
        <v>69</v>
      </c>
      <c r="CP13" t="s">
        <v>71</v>
      </c>
      <c r="CQ13" t="s">
        <v>69</v>
      </c>
      <c r="CR13">
        <v>131.17500000000001</v>
      </c>
      <c r="CS13" t="s">
        <v>69</v>
      </c>
      <c r="CT13" t="s">
        <v>69</v>
      </c>
      <c r="CU13">
        <v>415</v>
      </c>
      <c r="CV13" t="s">
        <v>72</v>
      </c>
      <c r="CW13" t="s">
        <v>69</v>
      </c>
      <c r="CX13" t="s">
        <v>71</v>
      </c>
      <c r="CY13" t="s">
        <v>69</v>
      </c>
      <c r="CZ13">
        <v>131.17500000000001</v>
      </c>
      <c r="DA13" t="s">
        <v>69</v>
      </c>
      <c r="DB13" t="s">
        <v>69</v>
      </c>
      <c r="DC13">
        <v>444</v>
      </c>
      <c r="DD13" t="s">
        <v>151</v>
      </c>
      <c r="DE13" t="s">
        <v>69</v>
      </c>
      <c r="DF13" t="s">
        <v>152</v>
      </c>
      <c r="DG13" t="s">
        <v>69</v>
      </c>
      <c r="DH13">
        <v>165.19200000000001</v>
      </c>
      <c r="DI13" t="s">
        <v>69</v>
      </c>
      <c r="DJ13" t="s">
        <v>69</v>
      </c>
      <c r="DK13">
        <v>481</v>
      </c>
      <c r="DL13" t="s">
        <v>73</v>
      </c>
      <c r="DM13" t="s">
        <v>69</v>
      </c>
      <c r="DN13" t="s">
        <v>71</v>
      </c>
      <c r="DO13" t="s">
        <v>69</v>
      </c>
      <c r="DP13">
        <v>89.093999999999994</v>
      </c>
      <c r="DQ13" t="s">
        <v>69</v>
      </c>
      <c r="DR13" t="s">
        <v>69</v>
      </c>
      <c r="DS13">
        <v>482</v>
      </c>
      <c r="DT13" t="s">
        <v>72</v>
      </c>
      <c r="DU13" t="s">
        <v>69</v>
      </c>
      <c r="DV13" t="s">
        <v>71</v>
      </c>
      <c r="DW13" t="s">
        <v>69</v>
      </c>
      <c r="DX13">
        <v>131.17500000000001</v>
      </c>
      <c r="DY13" t="s">
        <v>69</v>
      </c>
      <c r="DZ13" t="s">
        <v>69</v>
      </c>
      <c r="EA13">
        <v>512</v>
      </c>
      <c r="EB13" t="s">
        <v>149</v>
      </c>
      <c r="EC13" t="s">
        <v>69</v>
      </c>
      <c r="ED13" t="s">
        <v>150</v>
      </c>
      <c r="EE13" t="s">
        <v>69</v>
      </c>
      <c r="EF13">
        <v>119.119</v>
      </c>
      <c r="EG13" t="s">
        <v>69</v>
      </c>
      <c r="EH13" t="s">
        <v>69</v>
      </c>
      <c r="EI13">
        <v>516</v>
      </c>
      <c r="EJ13" t="s">
        <v>157</v>
      </c>
      <c r="EK13" t="s">
        <v>69</v>
      </c>
      <c r="EL13" t="s">
        <v>75</v>
      </c>
      <c r="EM13" t="s">
        <v>69</v>
      </c>
      <c r="EN13">
        <v>155.15600000000001</v>
      </c>
      <c r="EO13" t="s">
        <v>69</v>
      </c>
      <c r="EP13" t="s">
        <v>69</v>
      </c>
      <c r="EQ13">
        <v>519</v>
      </c>
      <c r="ER13" t="s">
        <v>72</v>
      </c>
      <c r="ES13" t="s">
        <v>69</v>
      </c>
      <c r="ET13" t="s">
        <v>71</v>
      </c>
      <c r="EU13" t="s">
        <v>69</v>
      </c>
      <c r="EV13">
        <v>131.17500000000001</v>
      </c>
      <c r="EW13" t="s">
        <v>69</v>
      </c>
      <c r="EX13" t="s">
        <v>69</v>
      </c>
      <c r="EY13">
        <v>522</v>
      </c>
      <c r="EZ13" t="s">
        <v>72</v>
      </c>
      <c r="FA13" t="s">
        <v>69</v>
      </c>
      <c r="FB13" t="s">
        <v>71</v>
      </c>
      <c r="FC13" t="s">
        <v>69</v>
      </c>
      <c r="FD13">
        <v>131.17500000000001</v>
      </c>
      <c r="FE13" t="s">
        <v>69</v>
      </c>
      <c r="FF13" t="s">
        <v>69</v>
      </c>
      <c r="FG13">
        <v>523</v>
      </c>
      <c r="FH13" t="s">
        <v>147</v>
      </c>
      <c r="FI13" t="s">
        <v>69</v>
      </c>
      <c r="FJ13" t="s">
        <v>148</v>
      </c>
      <c r="FK13" t="s">
        <v>69</v>
      </c>
      <c r="FL13">
        <v>146.14599999999999</v>
      </c>
      <c r="FM13" t="s">
        <v>69</v>
      </c>
      <c r="FN13" t="s">
        <v>69</v>
      </c>
      <c r="FO13">
        <v>547</v>
      </c>
      <c r="FP13" t="s">
        <v>151</v>
      </c>
      <c r="FQ13" t="s">
        <v>69</v>
      </c>
      <c r="FR13" t="s">
        <v>152</v>
      </c>
      <c r="FS13" t="s">
        <v>69</v>
      </c>
      <c r="FT13">
        <v>165.19200000000001</v>
      </c>
      <c r="FU13" t="s">
        <v>69</v>
      </c>
      <c r="FV13" t="s">
        <v>69</v>
      </c>
      <c r="FW13">
        <v>550</v>
      </c>
      <c r="FX13" t="s">
        <v>119</v>
      </c>
      <c r="FY13" t="s">
        <v>69</v>
      </c>
      <c r="FZ13" t="s">
        <v>120</v>
      </c>
      <c r="GA13" t="s">
        <v>69</v>
      </c>
      <c r="GB13">
        <v>147.131</v>
      </c>
      <c r="GC13" t="s">
        <v>69</v>
      </c>
      <c r="GD13" t="s">
        <v>69</v>
      </c>
      <c r="GE13">
        <v>551</v>
      </c>
      <c r="GF13" t="s">
        <v>149</v>
      </c>
      <c r="GG13" t="s">
        <v>69</v>
      </c>
      <c r="GH13" t="s">
        <v>150</v>
      </c>
      <c r="GI13" t="s">
        <v>69</v>
      </c>
      <c r="GJ13">
        <v>119.119</v>
      </c>
      <c r="GK13" t="s">
        <v>69</v>
      </c>
      <c r="GL13" t="s">
        <v>69</v>
      </c>
      <c r="GM13">
        <v>554</v>
      </c>
      <c r="GN13" t="s">
        <v>149</v>
      </c>
      <c r="GO13" t="s">
        <v>69</v>
      </c>
      <c r="GP13" t="s">
        <v>150</v>
      </c>
      <c r="GQ13" t="s">
        <v>69</v>
      </c>
      <c r="GR13">
        <v>119.119</v>
      </c>
      <c r="GS13" t="s">
        <v>69</v>
      </c>
      <c r="GT13" t="s">
        <v>69</v>
      </c>
      <c r="GU13">
        <v>558</v>
      </c>
      <c r="GV13" t="s">
        <v>147</v>
      </c>
      <c r="GW13" t="s">
        <v>69</v>
      </c>
      <c r="GX13" t="s">
        <v>148</v>
      </c>
      <c r="GY13" t="s">
        <v>69</v>
      </c>
      <c r="GZ13">
        <v>146.14599999999999</v>
      </c>
      <c r="HA13" t="s">
        <v>69</v>
      </c>
      <c r="HB13" t="s">
        <v>69</v>
      </c>
      <c r="HC13">
        <v>560</v>
      </c>
      <c r="HD13" t="s">
        <v>70</v>
      </c>
      <c r="HE13" t="s">
        <v>69</v>
      </c>
      <c r="HF13" t="s">
        <v>71</v>
      </c>
      <c r="HG13" t="s">
        <v>69</v>
      </c>
      <c r="HH13">
        <v>75.066999999999993</v>
      </c>
      <c r="HI13" t="s">
        <v>69</v>
      </c>
      <c r="HJ13" t="s">
        <v>69</v>
      </c>
      <c r="HK13">
        <v>562</v>
      </c>
      <c r="HL13" t="s">
        <v>116</v>
      </c>
      <c r="HM13" t="s">
        <v>69</v>
      </c>
      <c r="HN13" t="s">
        <v>117</v>
      </c>
      <c r="HO13" t="s">
        <v>69</v>
      </c>
      <c r="HP13">
        <v>149.208</v>
      </c>
      <c r="HQ13" t="s">
        <v>69</v>
      </c>
      <c r="HR13" t="s">
        <v>69</v>
      </c>
      <c r="HS13">
        <v>580</v>
      </c>
      <c r="HT13" t="s">
        <v>116</v>
      </c>
      <c r="HU13" t="s">
        <v>69</v>
      </c>
      <c r="HV13" t="s">
        <v>117</v>
      </c>
      <c r="HW13" t="s">
        <v>69</v>
      </c>
      <c r="HX13">
        <v>149.208</v>
      </c>
      <c r="HY13" t="s">
        <v>69</v>
      </c>
      <c r="HZ13" t="s">
        <v>69</v>
      </c>
      <c r="IA13">
        <v>584</v>
      </c>
      <c r="IB13" t="s">
        <v>157</v>
      </c>
      <c r="IC13" t="s">
        <v>69</v>
      </c>
      <c r="ID13" t="s">
        <v>75</v>
      </c>
      <c r="IE13" t="s">
        <v>69</v>
      </c>
      <c r="IF13">
        <v>155.15600000000001</v>
      </c>
      <c r="IG13" t="s">
        <v>69</v>
      </c>
      <c r="IH13" t="s">
        <v>69</v>
      </c>
      <c r="II13">
        <v>588</v>
      </c>
      <c r="IJ13" t="s">
        <v>72</v>
      </c>
      <c r="IK13" t="s">
        <v>69</v>
      </c>
      <c r="IL13" t="s">
        <v>71</v>
      </c>
      <c r="IM13" t="s">
        <v>69</v>
      </c>
      <c r="IN13">
        <v>131.17500000000001</v>
      </c>
      <c r="IO13" t="s">
        <v>69</v>
      </c>
      <c r="IP13" t="s">
        <v>69</v>
      </c>
      <c r="IQ13">
        <v>591</v>
      </c>
      <c r="IR13" t="s">
        <v>73</v>
      </c>
      <c r="IS13" t="s">
        <v>69</v>
      </c>
      <c r="IT13" t="s">
        <v>71</v>
      </c>
      <c r="IU13" t="s">
        <v>69</v>
      </c>
      <c r="IV13">
        <v>89.093999999999994</v>
      </c>
      <c r="IW13" t="s">
        <v>69</v>
      </c>
      <c r="IX13" t="s">
        <v>69</v>
      </c>
      <c r="IY13">
        <v>592</v>
      </c>
      <c r="IZ13" t="s">
        <v>73</v>
      </c>
      <c r="JA13" t="s">
        <v>69</v>
      </c>
      <c r="JB13" t="s">
        <v>71</v>
      </c>
      <c r="JC13" t="s">
        <v>69</v>
      </c>
      <c r="JD13">
        <v>89.093999999999994</v>
      </c>
      <c r="JE13" t="s">
        <v>69</v>
      </c>
      <c r="JF13" t="s">
        <v>69</v>
      </c>
      <c r="JG13">
        <v>599</v>
      </c>
      <c r="JH13" t="s">
        <v>73</v>
      </c>
      <c r="JI13" t="s">
        <v>69</v>
      </c>
      <c r="JJ13" t="s">
        <v>71</v>
      </c>
      <c r="JK13" t="s">
        <v>69</v>
      </c>
      <c r="JL13">
        <v>89.093999999999994</v>
      </c>
      <c r="JM13" t="s">
        <v>69</v>
      </c>
      <c r="JN13" t="s">
        <v>69</v>
      </c>
    </row>
    <row r="14" spans="1:274" x14ac:dyDescent="0.25">
      <c r="A14">
        <v>7</v>
      </c>
      <c r="B14" t="str">
        <f>HYPERLINK("http://www.ncbi.nlm.nih.gov/protein/XP_007096054.2","XP_007096054.2")</f>
        <v>XP_007096054.2</v>
      </c>
      <c r="C14">
        <v>56089</v>
      </c>
      <c r="D14" t="str">
        <f>HYPERLINK("http://www.ncbi.nlm.nih.gov/Taxonomy/Browser/wwwtax.cgi?mode=Info&amp;id=9694&amp;lvl=3&amp;lin=f&amp;keep=1&amp;srchmode=1&amp;unlock","9694")</f>
        <v>9694</v>
      </c>
      <c r="E14" t="s">
        <v>66</v>
      </c>
      <c r="F14" t="str">
        <f>HYPERLINK("http://www.ncbi.nlm.nih.gov/Taxonomy/Browser/wwwtax.cgi?mode=Info&amp;id=9694&amp;lvl=3&amp;lin=f&amp;keep=1&amp;srchmode=1&amp;unlock","Panthera tigris")</f>
        <v>Panthera tigris</v>
      </c>
      <c r="G14" t="s">
        <v>89</v>
      </c>
      <c r="H14" t="str">
        <f>HYPERLINK("http://www.ncbi.nlm.nih.gov/protein/XP_007096054.2","mitochondrial import receptor subunit TOM70")</f>
        <v>mitochondrial import receptor subunit TOM70</v>
      </c>
      <c r="I14" t="s">
        <v>270</v>
      </c>
      <c r="J14" t="s">
        <v>69</v>
      </c>
      <c r="K14">
        <v>216</v>
      </c>
      <c r="L14" t="s">
        <v>145</v>
      </c>
      <c r="M14" t="s">
        <v>69</v>
      </c>
      <c r="N14" t="s">
        <v>71</v>
      </c>
      <c r="O14" t="s">
        <v>69</v>
      </c>
      <c r="P14">
        <v>131.17500000000001</v>
      </c>
      <c r="Q14" t="s">
        <v>69</v>
      </c>
      <c r="R14" t="s">
        <v>69</v>
      </c>
      <c r="S14">
        <v>257</v>
      </c>
      <c r="T14" t="s">
        <v>151</v>
      </c>
      <c r="U14" t="s">
        <v>69</v>
      </c>
      <c r="V14" t="s">
        <v>152</v>
      </c>
      <c r="W14" t="s">
        <v>69</v>
      </c>
      <c r="X14">
        <v>165.19200000000001</v>
      </c>
      <c r="Y14" t="s">
        <v>69</v>
      </c>
      <c r="Z14" t="s">
        <v>69</v>
      </c>
      <c r="AA14">
        <v>260</v>
      </c>
      <c r="AB14" t="s">
        <v>155</v>
      </c>
      <c r="AC14" t="s">
        <v>69</v>
      </c>
      <c r="AD14" t="s">
        <v>150</v>
      </c>
      <c r="AE14" t="s">
        <v>69</v>
      </c>
      <c r="AF14">
        <v>105.093</v>
      </c>
      <c r="AG14" t="s">
        <v>69</v>
      </c>
      <c r="AH14" t="s">
        <v>69</v>
      </c>
      <c r="AI14">
        <v>261</v>
      </c>
      <c r="AJ14" t="s">
        <v>69</v>
      </c>
      <c r="AK14" t="s">
        <v>69</v>
      </c>
      <c r="AL14" t="s">
        <v>152</v>
      </c>
      <c r="AM14" t="s">
        <v>69</v>
      </c>
      <c r="AN14">
        <v>181.191</v>
      </c>
      <c r="AO14" t="s">
        <v>69</v>
      </c>
      <c r="AP14" t="s">
        <v>69</v>
      </c>
      <c r="AQ14">
        <v>341</v>
      </c>
      <c r="AR14" t="s">
        <v>72</v>
      </c>
      <c r="AS14" t="s">
        <v>69</v>
      </c>
      <c r="AT14" t="s">
        <v>71</v>
      </c>
      <c r="AU14" t="s">
        <v>69</v>
      </c>
      <c r="AV14">
        <v>131.17500000000001</v>
      </c>
      <c r="AW14" t="s">
        <v>69</v>
      </c>
      <c r="AX14" t="s">
        <v>69</v>
      </c>
      <c r="AY14">
        <v>342</v>
      </c>
      <c r="AZ14" t="s">
        <v>72</v>
      </c>
      <c r="BA14" t="s">
        <v>69</v>
      </c>
      <c r="BB14" t="s">
        <v>71</v>
      </c>
      <c r="BC14" t="s">
        <v>69</v>
      </c>
      <c r="BD14">
        <v>131.17500000000001</v>
      </c>
      <c r="BE14" t="s">
        <v>69</v>
      </c>
      <c r="BF14" t="s">
        <v>69</v>
      </c>
      <c r="BG14">
        <v>376</v>
      </c>
      <c r="BH14" t="s">
        <v>155</v>
      </c>
      <c r="BI14" t="s">
        <v>69</v>
      </c>
      <c r="BJ14" t="s">
        <v>150</v>
      </c>
      <c r="BK14" t="s">
        <v>69</v>
      </c>
      <c r="BL14">
        <v>105.093</v>
      </c>
      <c r="BM14" t="s">
        <v>69</v>
      </c>
      <c r="BN14" t="s">
        <v>69</v>
      </c>
      <c r="BO14">
        <v>379</v>
      </c>
      <c r="BP14" t="s">
        <v>116</v>
      </c>
      <c r="BQ14" t="s">
        <v>69</v>
      </c>
      <c r="BR14" t="s">
        <v>117</v>
      </c>
      <c r="BS14" t="s">
        <v>69</v>
      </c>
      <c r="BT14">
        <v>149.208</v>
      </c>
      <c r="BU14" t="s">
        <v>69</v>
      </c>
      <c r="BV14" t="s">
        <v>69</v>
      </c>
      <c r="BW14">
        <v>410</v>
      </c>
      <c r="BX14" t="s">
        <v>147</v>
      </c>
      <c r="BY14" t="s">
        <v>69</v>
      </c>
      <c r="BZ14" t="s">
        <v>148</v>
      </c>
      <c r="CA14" t="s">
        <v>69</v>
      </c>
      <c r="CB14">
        <v>146.14599999999999</v>
      </c>
      <c r="CC14" t="s">
        <v>69</v>
      </c>
      <c r="CD14" t="s">
        <v>69</v>
      </c>
      <c r="CE14">
        <v>411</v>
      </c>
      <c r="CF14" t="s">
        <v>72</v>
      </c>
      <c r="CG14" t="s">
        <v>69</v>
      </c>
      <c r="CH14" t="s">
        <v>71</v>
      </c>
      <c r="CI14" t="s">
        <v>69</v>
      </c>
      <c r="CJ14">
        <v>131.17500000000001</v>
      </c>
      <c r="CK14" t="s">
        <v>69</v>
      </c>
      <c r="CL14" t="s">
        <v>69</v>
      </c>
      <c r="CM14">
        <v>413</v>
      </c>
      <c r="CN14" t="s">
        <v>145</v>
      </c>
      <c r="CO14" t="s">
        <v>69</v>
      </c>
      <c r="CP14" t="s">
        <v>71</v>
      </c>
      <c r="CQ14" t="s">
        <v>69</v>
      </c>
      <c r="CR14">
        <v>131.17500000000001</v>
      </c>
      <c r="CS14" t="s">
        <v>69</v>
      </c>
      <c r="CT14" t="s">
        <v>69</v>
      </c>
      <c r="CU14">
        <v>415</v>
      </c>
      <c r="CV14" t="s">
        <v>72</v>
      </c>
      <c r="CW14" t="s">
        <v>69</v>
      </c>
      <c r="CX14" t="s">
        <v>71</v>
      </c>
      <c r="CY14" t="s">
        <v>69</v>
      </c>
      <c r="CZ14">
        <v>131.17500000000001</v>
      </c>
      <c r="DA14" t="s">
        <v>69</v>
      </c>
      <c r="DB14" t="s">
        <v>69</v>
      </c>
      <c r="DC14">
        <v>444</v>
      </c>
      <c r="DD14" t="s">
        <v>151</v>
      </c>
      <c r="DE14" t="s">
        <v>69</v>
      </c>
      <c r="DF14" t="s">
        <v>152</v>
      </c>
      <c r="DG14" t="s">
        <v>69</v>
      </c>
      <c r="DH14">
        <v>165.19200000000001</v>
      </c>
      <c r="DI14" t="s">
        <v>69</v>
      </c>
      <c r="DJ14" t="s">
        <v>69</v>
      </c>
      <c r="DK14">
        <v>481</v>
      </c>
      <c r="DL14" t="s">
        <v>73</v>
      </c>
      <c r="DM14" t="s">
        <v>69</v>
      </c>
      <c r="DN14" t="s">
        <v>71</v>
      </c>
      <c r="DO14" t="s">
        <v>69</v>
      </c>
      <c r="DP14">
        <v>89.093999999999994</v>
      </c>
      <c r="DQ14" t="s">
        <v>69</v>
      </c>
      <c r="DR14" t="s">
        <v>69</v>
      </c>
      <c r="DS14">
        <v>482</v>
      </c>
      <c r="DT14" t="s">
        <v>72</v>
      </c>
      <c r="DU14" t="s">
        <v>69</v>
      </c>
      <c r="DV14" t="s">
        <v>71</v>
      </c>
      <c r="DW14" t="s">
        <v>69</v>
      </c>
      <c r="DX14">
        <v>131.17500000000001</v>
      </c>
      <c r="DY14" t="s">
        <v>69</v>
      </c>
      <c r="DZ14" t="s">
        <v>69</v>
      </c>
      <c r="EA14">
        <v>512</v>
      </c>
      <c r="EB14" t="s">
        <v>149</v>
      </c>
      <c r="EC14" t="s">
        <v>69</v>
      </c>
      <c r="ED14" t="s">
        <v>150</v>
      </c>
      <c r="EE14" t="s">
        <v>69</v>
      </c>
      <c r="EF14">
        <v>119.119</v>
      </c>
      <c r="EG14" t="s">
        <v>69</v>
      </c>
      <c r="EH14" t="s">
        <v>69</v>
      </c>
      <c r="EI14">
        <v>516</v>
      </c>
      <c r="EJ14" t="s">
        <v>157</v>
      </c>
      <c r="EK14" t="s">
        <v>69</v>
      </c>
      <c r="EL14" t="s">
        <v>75</v>
      </c>
      <c r="EM14" t="s">
        <v>69</v>
      </c>
      <c r="EN14">
        <v>155.15600000000001</v>
      </c>
      <c r="EO14" t="s">
        <v>69</v>
      </c>
      <c r="EP14" t="s">
        <v>69</v>
      </c>
      <c r="EQ14">
        <v>519</v>
      </c>
      <c r="ER14" t="s">
        <v>72</v>
      </c>
      <c r="ES14" t="s">
        <v>69</v>
      </c>
      <c r="ET14" t="s">
        <v>71</v>
      </c>
      <c r="EU14" t="s">
        <v>69</v>
      </c>
      <c r="EV14">
        <v>131.17500000000001</v>
      </c>
      <c r="EW14" t="s">
        <v>69</v>
      </c>
      <c r="EX14" t="s">
        <v>69</v>
      </c>
      <c r="EY14">
        <v>522</v>
      </c>
      <c r="EZ14" t="s">
        <v>72</v>
      </c>
      <c r="FA14" t="s">
        <v>69</v>
      </c>
      <c r="FB14" t="s">
        <v>71</v>
      </c>
      <c r="FC14" t="s">
        <v>69</v>
      </c>
      <c r="FD14">
        <v>131.17500000000001</v>
      </c>
      <c r="FE14" t="s">
        <v>69</v>
      </c>
      <c r="FF14" t="s">
        <v>69</v>
      </c>
      <c r="FG14">
        <v>523</v>
      </c>
      <c r="FH14" t="s">
        <v>147</v>
      </c>
      <c r="FI14" t="s">
        <v>69</v>
      </c>
      <c r="FJ14" t="s">
        <v>148</v>
      </c>
      <c r="FK14" t="s">
        <v>69</v>
      </c>
      <c r="FL14">
        <v>146.14599999999999</v>
      </c>
      <c r="FM14" t="s">
        <v>69</v>
      </c>
      <c r="FN14" t="s">
        <v>69</v>
      </c>
      <c r="FO14">
        <v>547</v>
      </c>
      <c r="FP14" t="s">
        <v>151</v>
      </c>
      <c r="FQ14" t="s">
        <v>69</v>
      </c>
      <c r="FR14" t="s">
        <v>152</v>
      </c>
      <c r="FS14" t="s">
        <v>69</v>
      </c>
      <c r="FT14">
        <v>165.19200000000001</v>
      </c>
      <c r="FU14" t="s">
        <v>69</v>
      </c>
      <c r="FV14" t="s">
        <v>69</v>
      </c>
      <c r="FW14">
        <v>550</v>
      </c>
      <c r="FX14" t="s">
        <v>119</v>
      </c>
      <c r="FY14" t="s">
        <v>69</v>
      </c>
      <c r="FZ14" t="s">
        <v>120</v>
      </c>
      <c r="GA14" t="s">
        <v>69</v>
      </c>
      <c r="GB14">
        <v>147.131</v>
      </c>
      <c r="GC14" t="s">
        <v>69</v>
      </c>
      <c r="GD14" t="s">
        <v>69</v>
      </c>
      <c r="GE14">
        <v>551</v>
      </c>
      <c r="GF14" t="s">
        <v>149</v>
      </c>
      <c r="GG14" t="s">
        <v>69</v>
      </c>
      <c r="GH14" t="s">
        <v>150</v>
      </c>
      <c r="GI14" t="s">
        <v>69</v>
      </c>
      <c r="GJ14">
        <v>119.119</v>
      </c>
      <c r="GK14" t="s">
        <v>69</v>
      </c>
      <c r="GL14" t="s">
        <v>69</v>
      </c>
      <c r="GM14">
        <v>554</v>
      </c>
      <c r="GN14" t="s">
        <v>149</v>
      </c>
      <c r="GO14" t="s">
        <v>69</v>
      </c>
      <c r="GP14" t="s">
        <v>150</v>
      </c>
      <c r="GQ14" t="s">
        <v>69</v>
      </c>
      <c r="GR14">
        <v>119.119</v>
      </c>
      <c r="GS14" t="s">
        <v>69</v>
      </c>
      <c r="GT14" t="s">
        <v>69</v>
      </c>
      <c r="GU14">
        <v>558</v>
      </c>
      <c r="GV14" t="s">
        <v>147</v>
      </c>
      <c r="GW14" t="s">
        <v>69</v>
      </c>
      <c r="GX14" t="s">
        <v>148</v>
      </c>
      <c r="GY14" t="s">
        <v>69</v>
      </c>
      <c r="GZ14">
        <v>146.14599999999999</v>
      </c>
      <c r="HA14" t="s">
        <v>69</v>
      </c>
      <c r="HB14" t="s">
        <v>69</v>
      </c>
      <c r="HC14">
        <v>560</v>
      </c>
      <c r="HD14" t="s">
        <v>70</v>
      </c>
      <c r="HE14" t="s">
        <v>69</v>
      </c>
      <c r="HF14" t="s">
        <v>71</v>
      </c>
      <c r="HG14" t="s">
        <v>69</v>
      </c>
      <c r="HH14">
        <v>75.066999999999993</v>
      </c>
      <c r="HI14" t="s">
        <v>69</v>
      </c>
      <c r="HJ14" t="s">
        <v>69</v>
      </c>
      <c r="HK14">
        <v>562</v>
      </c>
      <c r="HL14" t="s">
        <v>116</v>
      </c>
      <c r="HM14" t="s">
        <v>69</v>
      </c>
      <c r="HN14" t="s">
        <v>117</v>
      </c>
      <c r="HO14" t="s">
        <v>69</v>
      </c>
      <c r="HP14">
        <v>149.208</v>
      </c>
      <c r="HQ14" t="s">
        <v>69</v>
      </c>
      <c r="HR14" t="s">
        <v>69</v>
      </c>
      <c r="HS14">
        <v>580</v>
      </c>
      <c r="HT14" t="s">
        <v>116</v>
      </c>
      <c r="HU14" t="s">
        <v>69</v>
      </c>
      <c r="HV14" t="s">
        <v>117</v>
      </c>
      <c r="HW14" t="s">
        <v>69</v>
      </c>
      <c r="HX14">
        <v>149.208</v>
      </c>
      <c r="HY14" t="s">
        <v>69</v>
      </c>
      <c r="HZ14" t="s">
        <v>69</v>
      </c>
      <c r="IA14">
        <v>584</v>
      </c>
      <c r="IB14" t="s">
        <v>157</v>
      </c>
      <c r="IC14" t="s">
        <v>69</v>
      </c>
      <c r="ID14" t="s">
        <v>75</v>
      </c>
      <c r="IE14" t="s">
        <v>69</v>
      </c>
      <c r="IF14">
        <v>155.15600000000001</v>
      </c>
      <c r="IG14" t="s">
        <v>69</v>
      </c>
      <c r="IH14" t="s">
        <v>69</v>
      </c>
      <c r="II14">
        <v>588</v>
      </c>
      <c r="IJ14" t="s">
        <v>72</v>
      </c>
      <c r="IK14" t="s">
        <v>69</v>
      </c>
      <c r="IL14" t="s">
        <v>71</v>
      </c>
      <c r="IM14" t="s">
        <v>69</v>
      </c>
      <c r="IN14">
        <v>131.17500000000001</v>
      </c>
      <c r="IO14" t="s">
        <v>69</v>
      </c>
      <c r="IP14" t="s">
        <v>69</v>
      </c>
      <c r="IQ14">
        <v>591</v>
      </c>
      <c r="IR14" t="s">
        <v>73</v>
      </c>
      <c r="IS14" t="s">
        <v>69</v>
      </c>
      <c r="IT14" t="s">
        <v>71</v>
      </c>
      <c r="IU14" t="s">
        <v>69</v>
      </c>
      <c r="IV14">
        <v>89.093999999999994</v>
      </c>
      <c r="IW14" t="s">
        <v>69</v>
      </c>
      <c r="IX14" t="s">
        <v>69</v>
      </c>
      <c r="IY14">
        <v>592</v>
      </c>
      <c r="IZ14" t="s">
        <v>73</v>
      </c>
      <c r="JA14" t="s">
        <v>69</v>
      </c>
      <c r="JB14" t="s">
        <v>71</v>
      </c>
      <c r="JC14" t="s">
        <v>69</v>
      </c>
      <c r="JD14">
        <v>89.093999999999994</v>
      </c>
      <c r="JE14" t="s">
        <v>69</v>
      </c>
      <c r="JF14" t="s">
        <v>69</v>
      </c>
      <c r="JG14">
        <v>599</v>
      </c>
      <c r="JH14" t="s">
        <v>73</v>
      </c>
      <c r="JI14" t="s">
        <v>69</v>
      </c>
      <c r="JJ14" t="s">
        <v>71</v>
      </c>
      <c r="JK14" t="s">
        <v>69</v>
      </c>
      <c r="JL14">
        <v>89.093999999999994</v>
      </c>
      <c r="JM14" t="s">
        <v>69</v>
      </c>
      <c r="JN14" t="s">
        <v>69</v>
      </c>
    </row>
    <row r="15" spans="1:274" x14ac:dyDescent="0.25">
      <c r="A15">
        <v>7</v>
      </c>
      <c r="B15" t="str">
        <f>HYPERLINK("http://www.ncbi.nlm.nih.gov/protein/XP_025769782.1","XP_025769782.1")</f>
        <v>XP_025769782.1</v>
      </c>
      <c r="C15">
        <v>23623</v>
      </c>
      <c r="D15" t="str">
        <f>HYPERLINK("http://www.ncbi.nlm.nih.gov/Taxonomy/Browser/wwwtax.cgi?mode=Info&amp;id=9696&amp;lvl=3&amp;lin=f&amp;keep=1&amp;srchmode=1&amp;unlock","9696")</f>
        <v>9696</v>
      </c>
      <c r="E15" t="s">
        <v>66</v>
      </c>
      <c r="F15" t="str">
        <f>HYPERLINK("http://www.ncbi.nlm.nih.gov/Taxonomy/Browser/wwwtax.cgi?mode=Info&amp;id=9696&amp;lvl=3&amp;lin=f&amp;keep=1&amp;srchmode=1&amp;unlock","Puma concolor")</f>
        <v>Puma concolor</v>
      </c>
      <c r="G15" t="s">
        <v>91</v>
      </c>
      <c r="H15" t="str">
        <f>HYPERLINK("http://www.ncbi.nlm.nih.gov/protein/XP_025769782.1","mitochondrial import receptor subunit TOM70")</f>
        <v>mitochondrial import receptor subunit TOM70</v>
      </c>
      <c r="I15" t="s">
        <v>270</v>
      </c>
      <c r="J15" t="s">
        <v>69</v>
      </c>
      <c r="K15">
        <v>216</v>
      </c>
      <c r="L15" t="s">
        <v>145</v>
      </c>
      <c r="M15" t="s">
        <v>69</v>
      </c>
      <c r="N15" t="s">
        <v>71</v>
      </c>
      <c r="O15" t="s">
        <v>69</v>
      </c>
      <c r="P15">
        <v>131.17500000000001</v>
      </c>
      <c r="Q15" t="s">
        <v>69</v>
      </c>
      <c r="R15" t="s">
        <v>69</v>
      </c>
      <c r="S15">
        <v>257</v>
      </c>
      <c r="T15" t="s">
        <v>151</v>
      </c>
      <c r="U15" t="s">
        <v>69</v>
      </c>
      <c r="V15" t="s">
        <v>152</v>
      </c>
      <c r="W15" t="s">
        <v>69</v>
      </c>
      <c r="X15">
        <v>165.19200000000001</v>
      </c>
      <c r="Y15" t="s">
        <v>69</v>
      </c>
      <c r="Z15" t="s">
        <v>69</v>
      </c>
      <c r="AA15">
        <v>260</v>
      </c>
      <c r="AB15" t="s">
        <v>155</v>
      </c>
      <c r="AC15" t="s">
        <v>69</v>
      </c>
      <c r="AD15" t="s">
        <v>150</v>
      </c>
      <c r="AE15" t="s">
        <v>69</v>
      </c>
      <c r="AF15">
        <v>105.093</v>
      </c>
      <c r="AG15" t="s">
        <v>69</v>
      </c>
      <c r="AH15" t="s">
        <v>69</v>
      </c>
      <c r="AI15">
        <v>261</v>
      </c>
      <c r="AJ15" t="s">
        <v>69</v>
      </c>
      <c r="AK15" t="s">
        <v>69</v>
      </c>
      <c r="AL15" t="s">
        <v>152</v>
      </c>
      <c r="AM15" t="s">
        <v>69</v>
      </c>
      <c r="AN15">
        <v>181.191</v>
      </c>
      <c r="AO15" t="s">
        <v>69</v>
      </c>
      <c r="AP15" t="s">
        <v>69</v>
      </c>
      <c r="AQ15">
        <v>341</v>
      </c>
      <c r="AR15" t="s">
        <v>72</v>
      </c>
      <c r="AS15" t="s">
        <v>69</v>
      </c>
      <c r="AT15" t="s">
        <v>71</v>
      </c>
      <c r="AU15" t="s">
        <v>69</v>
      </c>
      <c r="AV15">
        <v>131.17500000000001</v>
      </c>
      <c r="AW15" t="s">
        <v>69</v>
      </c>
      <c r="AX15" t="s">
        <v>69</v>
      </c>
      <c r="AY15">
        <v>342</v>
      </c>
      <c r="AZ15" t="s">
        <v>72</v>
      </c>
      <c r="BA15" t="s">
        <v>69</v>
      </c>
      <c r="BB15" t="s">
        <v>71</v>
      </c>
      <c r="BC15" t="s">
        <v>69</v>
      </c>
      <c r="BD15">
        <v>131.17500000000001</v>
      </c>
      <c r="BE15" t="s">
        <v>69</v>
      </c>
      <c r="BF15" t="s">
        <v>69</v>
      </c>
      <c r="BG15">
        <v>376</v>
      </c>
      <c r="BH15" t="s">
        <v>155</v>
      </c>
      <c r="BI15" t="s">
        <v>69</v>
      </c>
      <c r="BJ15" t="s">
        <v>150</v>
      </c>
      <c r="BK15" t="s">
        <v>69</v>
      </c>
      <c r="BL15">
        <v>105.093</v>
      </c>
      <c r="BM15" t="s">
        <v>69</v>
      </c>
      <c r="BN15" t="s">
        <v>69</v>
      </c>
      <c r="BO15">
        <v>379</v>
      </c>
      <c r="BP15" t="s">
        <v>116</v>
      </c>
      <c r="BQ15" t="s">
        <v>69</v>
      </c>
      <c r="BR15" t="s">
        <v>117</v>
      </c>
      <c r="BS15" t="s">
        <v>69</v>
      </c>
      <c r="BT15">
        <v>149.208</v>
      </c>
      <c r="BU15" t="s">
        <v>69</v>
      </c>
      <c r="BV15" t="s">
        <v>69</v>
      </c>
      <c r="BW15">
        <v>410</v>
      </c>
      <c r="BX15" t="s">
        <v>147</v>
      </c>
      <c r="BY15" t="s">
        <v>69</v>
      </c>
      <c r="BZ15" t="s">
        <v>148</v>
      </c>
      <c r="CA15" t="s">
        <v>69</v>
      </c>
      <c r="CB15">
        <v>146.14599999999999</v>
      </c>
      <c r="CC15" t="s">
        <v>69</v>
      </c>
      <c r="CD15" t="s">
        <v>69</v>
      </c>
      <c r="CE15">
        <v>411</v>
      </c>
      <c r="CF15" t="s">
        <v>72</v>
      </c>
      <c r="CG15" t="s">
        <v>69</v>
      </c>
      <c r="CH15" t="s">
        <v>71</v>
      </c>
      <c r="CI15" t="s">
        <v>69</v>
      </c>
      <c r="CJ15">
        <v>131.17500000000001</v>
      </c>
      <c r="CK15" t="s">
        <v>69</v>
      </c>
      <c r="CL15" t="s">
        <v>69</v>
      </c>
      <c r="CM15">
        <v>413</v>
      </c>
      <c r="CN15" t="s">
        <v>145</v>
      </c>
      <c r="CO15" t="s">
        <v>69</v>
      </c>
      <c r="CP15" t="s">
        <v>71</v>
      </c>
      <c r="CQ15" t="s">
        <v>69</v>
      </c>
      <c r="CR15">
        <v>131.17500000000001</v>
      </c>
      <c r="CS15" t="s">
        <v>69</v>
      </c>
      <c r="CT15" t="s">
        <v>69</v>
      </c>
      <c r="CU15">
        <v>415</v>
      </c>
      <c r="CV15" t="s">
        <v>72</v>
      </c>
      <c r="CW15" t="s">
        <v>69</v>
      </c>
      <c r="CX15" t="s">
        <v>71</v>
      </c>
      <c r="CY15" t="s">
        <v>69</v>
      </c>
      <c r="CZ15">
        <v>131.17500000000001</v>
      </c>
      <c r="DA15" t="s">
        <v>69</v>
      </c>
      <c r="DB15" t="s">
        <v>69</v>
      </c>
      <c r="DC15">
        <v>444</v>
      </c>
      <c r="DD15" t="s">
        <v>151</v>
      </c>
      <c r="DE15" t="s">
        <v>69</v>
      </c>
      <c r="DF15" t="s">
        <v>152</v>
      </c>
      <c r="DG15" t="s">
        <v>69</v>
      </c>
      <c r="DH15">
        <v>165.19200000000001</v>
      </c>
      <c r="DI15" t="s">
        <v>69</v>
      </c>
      <c r="DJ15" t="s">
        <v>69</v>
      </c>
      <c r="DK15">
        <v>481</v>
      </c>
      <c r="DL15" t="s">
        <v>73</v>
      </c>
      <c r="DM15" t="s">
        <v>69</v>
      </c>
      <c r="DN15" t="s">
        <v>71</v>
      </c>
      <c r="DO15" t="s">
        <v>69</v>
      </c>
      <c r="DP15">
        <v>89.093999999999994</v>
      </c>
      <c r="DQ15" t="s">
        <v>69</v>
      </c>
      <c r="DR15" t="s">
        <v>69</v>
      </c>
      <c r="DS15">
        <v>482</v>
      </c>
      <c r="DT15" t="s">
        <v>72</v>
      </c>
      <c r="DU15" t="s">
        <v>69</v>
      </c>
      <c r="DV15" t="s">
        <v>71</v>
      </c>
      <c r="DW15" t="s">
        <v>69</v>
      </c>
      <c r="DX15">
        <v>131.17500000000001</v>
      </c>
      <c r="DY15" t="s">
        <v>69</v>
      </c>
      <c r="DZ15" t="s">
        <v>69</v>
      </c>
      <c r="EA15">
        <v>512</v>
      </c>
      <c r="EB15" t="s">
        <v>149</v>
      </c>
      <c r="EC15" t="s">
        <v>69</v>
      </c>
      <c r="ED15" t="s">
        <v>150</v>
      </c>
      <c r="EE15" t="s">
        <v>69</v>
      </c>
      <c r="EF15">
        <v>119.119</v>
      </c>
      <c r="EG15" t="s">
        <v>69</v>
      </c>
      <c r="EH15" t="s">
        <v>69</v>
      </c>
      <c r="EI15">
        <v>516</v>
      </c>
      <c r="EJ15" t="s">
        <v>157</v>
      </c>
      <c r="EK15" t="s">
        <v>69</v>
      </c>
      <c r="EL15" t="s">
        <v>75</v>
      </c>
      <c r="EM15" t="s">
        <v>69</v>
      </c>
      <c r="EN15">
        <v>155.15600000000001</v>
      </c>
      <c r="EO15" t="s">
        <v>69</v>
      </c>
      <c r="EP15" t="s">
        <v>69</v>
      </c>
      <c r="EQ15">
        <v>519</v>
      </c>
      <c r="ER15" t="s">
        <v>72</v>
      </c>
      <c r="ES15" t="s">
        <v>69</v>
      </c>
      <c r="ET15" t="s">
        <v>71</v>
      </c>
      <c r="EU15" t="s">
        <v>69</v>
      </c>
      <c r="EV15">
        <v>131.17500000000001</v>
      </c>
      <c r="EW15" t="s">
        <v>69</v>
      </c>
      <c r="EX15" t="s">
        <v>69</v>
      </c>
      <c r="EY15">
        <v>522</v>
      </c>
      <c r="EZ15" t="s">
        <v>72</v>
      </c>
      <c r="FA15" t="s">
        <v>69</v>
      </c>
      <c r="FB15" t="s">
        <v>71</v>
      </c>
      <c r="FC15" t="s">
        <v>69</v>
      </c>
      <c r="FD15">
        <v>131.17500000000001</v>
      </c>
      <c r="FE15" t="s">
        <v>69</v>
      </c>
      <c r="FF15" t="s">
        <v>69</v>
      </c>
      <c r="FG15">
        <v>523</v>
      </c>
      <c r="FH15" t="s">
        <v>147</v>
      </c>
      <c r="FI15" t="s">
        <v>69</v>
      </c>
      <c r="FJ15" t="s">
        <v>148</v>
      </c>
      <c r="FK15" t="s">
        <v>69</v>
      </c>
      <c r="FL15">
        <v>146.14599999999999</v>
      </c>
      <c r="FM15" t="s">
        <v>69</v>
      </c>
      <c r="FN15" t="s">
        <v>69</v>
      </c>
      <c r="FO15">
        <v>547</v>
      </c>
      <c r="FP15" t="s">
        <v>151</v>
      </c>
      <c r="FQ15" t="s">
        <v>69</v>
      </c>
      <c r="FR15" t="s">
        <v>152</v>
      </c>
      <c r="FS15" t="s">
        <v>69</v>
      </c>
      <c r="FT15">
        <v>165.19200000000001</v>
      </c>
      <c r="FU15" t="s">
        <v>69</v>
      </c>
      <c r="FV15" t="s">
        <v>69</v>
      </c>
      <c r="FW15">
        <v>550</v>
      </c>
      <c r="FX15" t="s">
        <v>119</v>
      </c>
      <c r="FY15" t="s">
        <v>69</v>
      </c>
      <c r="FZ15" t="s">
        <v>120</v>
      </c>
      <c r="GA15" t="s">
        <v>69</v>
      </c>
      <c r="GB15">
        <v>147.131</v>
      </c>
      <c r="GC15" t="s">
        <v>69</v>
      </c>
      <c r="GD15" t="s">
        <v>69</v>
      </c>
      <c r="GE15">
        <v>551</v>
      </c>
      <c r="GF15" t="s">
        <v>149</v>
      </c>
      <c r="GG15" t="s">
        <v>69</v>
      </c>
      <c r="GH15" t="s">
        <v>150</v>
      </c>
      <c r="GI15" t="s">
        <v>69</v>
      </c>
      <c r="GJ15">
        <v>119.119</v>
      </c>
      <c r="GK15" t="s">
        <v>69</v>
      </c>
      <c r="GL15" t="s">
        <v>69</v>
      </c>
      <c r="GM15">
        <v>554</v>
      </c>
      <c r="GN15" t="s">
        <v>149</v>
      </c>
      <c r="GO15" t="s">
        <v>69</v>
      </c>
      <c r="GP15" t="s">
        <v>150</v>
      </c>
      <c r="GQ15" t="s">
        <v>69</v>
      </c>
      <c r="GR15">
        <v>119.119</v>
      </c>
      <c r="GS15" t="s">
        <v>69</v>
      </c>
      <c r="GT15" t="s">
        <v>69</v>
      </c>
      <c r="GU15">
        <v>558</v>
      </c>
      <c r="GV15" t="s">
        <v>147</v>
      </c>
      <c r="GW15" t="s">
        <v>69</v>
      </c>
      <c r="GX15" t="s">
        <v>148</v>
      </c>
      <c r="GY15" t="s">
        <v>69</v>
      </c>
      <c r="GZ15">
        <v>146.14599999999999</v>
      </c>
      <c r="HA15" t="s">
        <v>69</v>
      </c>
      <c r="HB15" t="s">
        <v>69</v>
      </c>
      <c r="HC15">
        <v>560</v>
      </c>
      <c r="HD15" t="s">
        <v>70</v>
      </c>
      <c r="HE15" t="s">
        <v>69</v>
      </c>
      <c r="HF15" t="s">
        <v>71</v>
      </c>
      <c r="HG15" t="s">
        <v>69</v>
      </c>
      <c r="HH15">
        <v>75.066999999999993</v>
      </c>
      <c r="HI15" t="s">
        <v>69</v>
      </c>
      <c r="HJ15" t="s">
        <v>69</v>
      </c>
      <c r="HK15">
        <v>562</v>
      </c>
      <c r="HL15" t="s">
        <v>116</v>
      </c>
      <c r="HM15" t="s">
        <v>69</v>
      </c>
      <c r="HN15" t="s">
        <v>117</v>
      </c>
      <c r="HO15" t="s">
        <v>69</v>
      </c>
      <c r="HP15">
        <v>149.208</v>
      </c>
      <c r="HQ15" t="s">
        <v>69</v>
      </c>
      <c r="HR15" t="s">
        <v>69</v>
      </c>
      <c r="HS15">
        <v>580</v>
      </c>
      <c r="HT15" t="s">
        <v>116</v>
      </c>
      <c r="HU15" t="s">
        <v>69</v>
      </c>
      <c r="HV15" t="s">
        <v>117</v>
      </c>
      <c r="HW15" t="s">
        <v>69</v>
      </c>
      <c r="HX15">
        <v>149.208</v>
      </c>
      <c r="HY15" t="s">
        <v>69</v>
      </c>
      <c r="HZ15" t="s">
        <v>69</v>
      </c>
      <c r="IA15">
        <v>584</v>
      </c>
      <c r="IB15" t="s">
        <v>157</v>
      </c>
      <c r="IC15" t="s">
        <v>69</v>
      </c>
      <c r="ID15" t="s">
        <v>75</v>
      </c>
      <c r="IE15" t="s">
        <v>69</v>
      </c>
      <c r="IF15">
        <v>155.15600000000001</v>
      </c>
      <c r="IG15" t="s">
        <v>69</v>
      </c>
      <c r="IH15" t="s">
        <v>69</v>
      </c>
      <c r="II15">
        <v>588</v>
      </c>
      <c r="IJ15" t="s">
        <v>72</v>
      </c>
      <c r="IK15" t="s">
        <v>69</v>
      </c>
      <c r="IL15" t="s">
        <v>71</v>
      </c>
      <c r="IM15" t="s">
        <v>69</v>
      </c>
      <c r="IN15">
        <v>131.17500000000001</v>
      </c>
      <c r="IO15" t="s">
        <v>69</v>
      </c>
      <c r="IP15" t="s">
        <v>69</v>
      </c>
      <c r="IQ15">
        <v>591</v>
      </c>
      <c r="IR15" t="s">
        <v>73</v>
      </c>
      <c r="IS15" t="s">
        <v>69</v>
      </c>
      <c r="IT15" t="s">
        <v>71</v>
      </c>
      <c r="IU15" t="s">
        <v>69</v>
      </c>
      <c r="IV15">
        <v>89.093999999999994</v>
      </c>
      <c r="IW15" t="s">
        <v>69</v>
      </c>
      <c r="IX15" t="s">
        <v>69</v>
      </c>
      <c r="IY15">
        <v>592</v>
      </c>
      <c r="IZ15" t="s">
        <v>73</v>
      </c>
      <c r="JA15" t="s">
        <v>69</v>
      </c>
      <c r="JB15" t="s">
        <v>71</v>
      </c>
      <c r="JC15" t="s">
        <v>69</v>
      </c>
      <c r="JD15">
        <v>89.093999999999994</v>
      </c>
      <c r="JE15" t="s">
        <v>69</v>
      </c>
      <c r="JF15" t="s">
        <v>69</v>
      </c>
      <c r="JG15">
        <v>599</v>
      </c>
      <c r="JH15" t="s">
        <v>73</v>
      </c>
      <c r="JI15" t="s">
        <v>69</v>
      </c>
      <c r="JJ15" t="s">
        <v>71</v>
      </c>
      <c r="JK15" t="s">
        <v>69</v>
      </c>
      <c r="JL15">
        <v>89.093999999999994</v>
      </c>
      <c r="JM15" t="s">
        <v>69</v>
      </c>
      <c r="JN15" t="s">
        <v>69</v>
      </c>
    </row>
    <row r="16" spans="1:274" x14ac:dyDescent="0.25">
      <c r="A16">
        <v>7</v>
      </c>
      <c r="B16" t="str">
        <f>HYPERLINK("http://www.ncbi.nlm.nih.gov/protein/XP_030184785.1","XP_030184785.1")</f>
        <v>XP_030184785.1</v>
      </c>
      <c r="C16">
        <v>42175</v>
      </c>
      <c r="D16" t="str">
        <f>HYPERLINK("http://www.ncbi.nlm.nih.gov/Taxonomy/Browser/wwwtax.cgi?mode=Info&amp;id=61383&amp;lvl=3&amp;lin=f&amp;keep=1&amp;srchmode=1&amp;unlock","61383")</f>
        <v>61383</v>
      </c>
      <c r="E16" t="s">
        <v>66</v>
      </c>
      <c r="F16" t="str">
        <f>HYPERLINK("http://www.ncbi.nlm.nih.gov/Taxonomy/Browser/wwwtax.cgi?mode=Info&amp;id=61383&amp;lvl=3&amp;lin=f&amp;keep=1&amp;srchmode=1&amp;unlock","Lynx canadensis")</f>
        <v>Lynx canadensis</v>
      </c>
      <c r="G16" t="s">
        <v>105</v>
      </c>
      <c r="H16" t="str">
        <f>HYPERLINK("http://www.ncbi.nlm.nih.gov/protein/XP_030184785.1","mitochondrial import receptor subunit TOM70")</f>
        <v>mitochondrial import receptor subunit TOM70</v>
      </c>
      <c r="I16" t="s">
        <v>270</v>
      </c>
      <c r="J16" t="s">
        <v>69</v>
      </c>
      <c r="K16">
        <v>216</v>
      </c>
      <c r="L16" t="s">
        <v>145</v>
      </c>
      <c r="M16" t="s">
        <v>69</v>
      </c>
      <c r="N16" t="s">
        <v>71</v>
      </c>
      <c r="O16" t="s">
        <v>69</v>
      </c>
      <c r="P16">
        <v>131.17500000000001</v>
      </c>
      <c r="Q16" t="s">
        <v>69</v>
      </c>
      <c r="R16" t="s">
        <v>69</v>
      </c>
      <c r="S16">
        <v>257</v>
      </c>
      <c r="T16" t="s">
        <v>151</v>
      </c>
      <c r="U16" t="s">
        <v>69</v>
      </c>
      <c r="V16" t="s">
        <v>152</v>
      </c>
      <c r="W16" t="s">
        <v>69</v>
      </c>
      <c r="X16">
        <v>165.19200000000001</v>
      </c>
      <c r="Y16" t="s">
        <v>69</v>
      </c>
      <c r="Z16" t="s">
        <v>69</v>
      </c>
      <c r="AA16">
        <v>260</v>
      </c>
      <c r="AB16" t="s">
        <v>155</v>
      </c>
      <c r="AC16" t="s">
        <v>69</v>
      </c>
      <c r="AD16" t="s">
        <v>150</v>
      </c>
      <c r="AE16" t="s">
        <v>69</v>
      </c>
      <c r="AF16">
        <v>105.093</v>
      </c>
      <c r="AG16" t="s">
        <v>69</v>
      </c>
      <c r="AH16" t="s">
        <v>69</v>
      </c>
      <c r="AI16">
        <v>261</v>
      </c>
      <c r="AJ16" t="s">
        <v>69</v>
      </c>
      <c r="AK16" t="s">
        <v>69</v>
      </c>
      <c r="AL16" t="s">
        <v>152</v>
      </c>
      <c r="AM16" t="s">
        <v>69</v>
      </c>
      <c r="AN16">
        <v>181.191</v>
      </c>
      <c r="AO16" t="s">
        <v>69</v>
      </c>
      <c r="AP16" t="s">
        <v>69</v>
      </c>
      <c r="AQ16">
        <v>341</v>
      </c>
      <c r="AR16" t="s">
        <v>72</v>
      </c>
      <c r="AS16" t="s">
        <v>69</v>
      </c>
      <c r="AT16" t="s">
        <v>71</v>
      </c>
      <c r="AU16" t="s">
        <v>69</v>
      </c>
      <c r="AV16">
        <v>131.17500000000001</v>
      </c>
      <c r="AW16" t="s">
        <v>69</v>
      </c>
      <c r="AX16" t="s">
        <v>69</v>
      </c>
      <c r="AY16">
        <v>342</v>
      </c>
      <c r="AZ16" t="s">
        <v>72</v>
      </c>
      <c r="BA16" t="s">
        <v>69</v>
      </c>
      <c r="BB16" t="s">
        <v>71</v>
      </c>
      <c r="BC16" t="s">
        <v>69</v>
      </c>
      <c r="BD16">
        <v>131.17500000000001</v>
      </c>
      <c r="BE16" t="s">
        <v>69</v>
      </c>
      <c r="BF16" t="s">
        <v>69</v>
      </c>
      <c r="BG16">
        <v>376</v>
      </c>
      <c r="BH16" t="s">
        <v>155</v>
      </c>
      <c r="BI16" t="s">
        <v>69</v>
      </c>
      <c r="BJ16" t="s">
        <v>150</v>
      </c>
      <c r="BK16" t="s">
        <v>69</v>
      </c>
      <c r="BL16">
        <v>105.093</v>
      </c>
      <c r="BM16" t="s">
        <v>69</v>
      </c>
      <c r="BN16" t="s">
        <v>69</v>
      </c>
      <c r="BO16">
        <v>379</v>
      </c>
      <c r="BP16" t="s">
        <v>116</v>
      </c>
      <c r="BQ16" t="s">
        <v>69</v>
      </c>
      <c r="BR16" t="s">
        <v>117</v>
      </c>
      <c r="BS16" t="s">
        <v>69</v>
      </c>
      <c r="BT16">
        <v>149.208</v>
      </c>
      <c r="BU16" t="s">
        <v>69</v>
      </c>
      <c r="BV16" t="s">
        <v>69</v>
      </c>
      <c r="BW16">
        <v>410</v>
      </c>
      <c r="BX16" t="s">
        <v>147</v>
      </c>
      <c r="BY16" t="s">
        <v>69</v>
      </c>
      <c r="BZ16" t="s">
        <v>148</v>
      </c>
      <c r="CA16" t="s">
        <v>69</v>
      </c>
      <c r="CB16">
        <v>146.14599999999999</v>
      </c>
      <c r="CC16" t="s">
        <v>69</v>
      </c>
      <c r="CD16" t="s">
        <v>69</v>
      </c>
      <c r="CE16">
        <v>411</v>
      </c>
      <c r="CF16" t="s">
        <v>72</v>
      </c>
      <c r="CG16" t="s">
        <v>69</v>
      </c>
      <c r="CH16" t="s">
        <v>71</v>
      </c>
      <c r="CI16" t="s">
        <v>69</v>
      </c>
      <c r="CJ16">
        <v>131.17500000000001</v>
      </c>
      <c r="CK16" t="s">
        <v>69</v>
      </c>
      <c r="CL16" t="s">
        <v>69</v>
      </c>
      <c r="CM16">
        <v>413</v>
      </c>
      <c r="CN16" t="s">
        <v>145</v>
      </c>
      <c r="CO16" t="s">
        <v>69</v>
      </c>
      <c r="CP16" t="s">
        <v>71</v>
      </c>
      <c r="CQ16" t="s">
        <v>69</v>
      </c>
      <c r="CR16">
        <v>131.17500000000001</v>
      </c>
      <c r="CS16" t="s">
        <v>69</v>
      </c>
      <c r="CT16" t="s">
        <v>69</v>
      </c>
      <c r="CU16">
        <v>415</v>
      </c>
      <c r="CV16" t="s">
        <v>72</v>
      </c>
      <c r="CW16" t="s">
        <v>69</v>
      </c>
      <c r="CX16" t="s">
        <v>71</v>
      </c>
      <c r="CY16" t="s">
        <v>69</v>
      </c>
      <c r="CZ16">
        <v>131.17500000000001</v>
      </c>
      <c r="DA16" t="s">
        <v>69</v>
      </c>
      <c r="DB16" t="s">
        <v>69</v>
      </c>
      <c r="DC16">
        <v>444</v>
      </c>
      <c r="DD16" t="s">
        <v>151</v>
      </c>
      <c r="DE16" t="s">
        <v>69</v>
      </c>
      <c r="DF16" t="s">
        <v>152</v>
      </c>
      <c r="DG16" t="s">
        <v>69</v>
      </c>
      <c r="DH16">
        <v>165.19200000000001</v>
      </c>
      <c r="DI16" t="s">
        <v>69</v>
      </c>
      <c r="DJ16" t="s">
        <v>69</v>
      </c>
      <c r="DK16">
        <v>481</v>
      </c>
      <c r="DL16" t="s">
        <v>73</v>
      </c>
      <c r="DM16" t="s">
        <v>69</v>
      </c>
      <c r="DN16" t="s">
        <v>71</v>
      </c>
      <c r="DO16" t="s">
        <v>69</v>
      </c>
      <c r="DP16">
        <v>89.093999999999994</v>
      </c>
      <c r="DQ16" t="s">
        <v>69</v>
      </c>
      <c r="DR16" t="s">
        <v>69</v>
      </c>
      <c r="DS16">
        <v>482</v>
      </c>
      <c r="DT16" t="s">
        <v>72</v>
      </c>
      <c r="DU16" t="s">
        <v>69</v>
      </c>
      <c r="DV16" t="s">
        <v>71</v>
      </c>
      <c r="DW16" t="s">
        <v>69</v>
      </c>
      <c r="DX16">
        <v>131.17500000000001</v>
      </c>
      <c r="DY16" t="s">
        <v>69</v>
      </c>
      <c r="DZ16" t="s">
        <v>69</v>
      </c>
      <c r="EA16">
        <v>512</v>
      </c>
      <c r="EB16" t="s">
        <v>149</v>
      </c>
      <c r="EC16" t="s">
        <v>69</v>
      </c>
      <c r="ED16" t="s">
        <v>150</v>
      </c>
      <c r="EE16" t="s">
        <v>69</v>
      </c>
      <c r="EF16">
        <v>119.119</v>
      </c>
      <c r="EG16" t="s">
        <v>69</v>
      </c>
      <c r="EH16" t="s">
        <v>69</v>
      </c>
      <c r="EI16">
        <v>516</v>
      </c>
      <c r="EJ16" t="s">
        <v>157</v>
      </c>
      <c r="EK16" t="s">
        <v>69</v>
      </c>
      <c r="EL16" t="s">
        <v>75</v>
      </c>
      <c r="EM16" t="s">
        <v>69</v>
      </c>
      <c r="EN16">
        <v>155.15600000000001</v>
      </c>
      <c r="EO16" t="s">
        <v>69</v>
      </c>
      <c r="EP16" t="s">
        <v>69</v>
      </c>
      <c r="EQ16">
        <v>519</v>
      </c>
      <c r="ER16" t="s">
        <v>72</v>
      </c>
      <c r="ES16" t="s">
        <v>69</v>
      </c>
      <c r="ET16" t="s">
        <v>71</v>
      </c>
      <c r="EU16" t="s">
        <v>69</v>
      </c>
      <c r="EV16">
        <v>131.17500000000001</v>
      </c>
      <c r="EW16" t="s">
        <v>69</v>
      </c>
      <c r="EX16" t="s">
        <v>69</v>
      </c>
      <c r="EY16">
        <v>522</v>
      </c>
      <c r="EZ16" t="s">
        <v>72</v>
      </c>
      <c r="FA16" t="s">
        <v>69</v>
      </c>
      <c r="FB16" t="s">
        <v>71</v>
      </c>
      <c r="FC16" t="s">
        <v>69</v>
      </c>
      <c r="FD16">
        <v>131.17500000000001</v>
      </c>
      <c r="FE16" t="s">
        <v>69</v>
      </c>
      <c r="FF16" t="s">
        <v>69</v>
      </c>
      <c r="FG16">
        <v>523</v>
      </c>
      <c r="FH16" t="s">
        <v>147</v>
      </c>
      <c r="FI16" t="s">
        <v>69</v>
      </c>
      <c r="FJ16" t="s">
        <v>148</v>
      </c>
      <c r="FK16" t="s">
        <v>69</v>
      </c>
      <c r="FL16">
        <v>146.14599999999999</v>
      </c>
      <c r="FM16" t="s">
        <v>69</v>
      </c>
      <c r="FN16" t="s">
        <v>69</v>
      </c>
      <c r="FO16">
        <v>547</v>
      </c>
      <c r="FP16" t="s">
        <v>151</v>
      </c>
      <c r="FQ16" t="s">
        <v>69</v>
      </c>
      <c r="FR16" t="s">
        <v>152</v>
      </c>
      <c r="FS16" t="s">
        <v>69</v>
      </c>
      <c r="FT16">
        <v>165.19200000000001</v>
      </c>
      <c r="FU16" t="s">
        <v>69</v>
      </c>
      <c r="FV16" t="s">
        <v>69</v>
      </c>
      <c r="FW16">
        <v>550</v>
      </c>
      <c r="FX16" t="s">
        <v>119</v>
      </c>
      <c r="FY16" t="s">
        <v>69</v>
      </c>
      <c r="FZ16" t="s">
        <v>120</v>
      </c>
      <c r="GA16" t="s">
        <v>69</v>
      </c>
      <c r="GB16">
        <v>147.131</v>
      </c>
      <c r="GC16" t="s">
        <v>69</v>
      </c>
      <c r="GD16" t="s">
        <v>69</v>
      </c>
      <c r="GE16">
        <v>551</v>
      </c>
      <c r="GF16" t="s">
        <v>149</v>
      </c>
      <c r="GG16" t="s">
        <v>69</v>
      </c>
      <c r="GH16" t="s">
        <v>150</v>
      </c>
      <c r="GI16" t="s">
        <v>69</v>
      </c>
      <c r="GJ16">
        <v>119.119</v>
      </c>
      <c r="GK16" t="s">
        <v>69</v>
      </c>
      <c r="GL16" t="s">
        <v>69</v>
      </c>
      <c r="GM16">
        <v>554</v>
      </c>
      <c r="GN16" t="s">
        <v>149</v>
      </c>
      <c r="GO16" t="s">
        <v>69</v>
      </c>
      <c r="GP16" t="s">
        <v>150</v>
      </c>
      <c r="GQ16" t="s">
        <v>69</v>
      </c>
      <c r="GR16">
        <v>119.119</v>
      </c>
      <c r="GS16" t="s">
        <v>69</v>
      </c>
      <c r="GT16" t="s">
        <v>69</v>
      </c>
      <c r="GU16">
        <v>558</v>
      </c>
      <c r="GV16" t="s">
        <v>147</v>
      </c>
      <c r="GW16" t="s">
        <v>69</v>
      </c>
      <c r="GX16" t="s">
        <v>148</v>
      </c>
      <c r="GY16" t="s">
        <v>69</v>
      </c>
      <c r="GZ16">
        <v>146.14599999999999</v>
      </c>
      <c r="HA16" t="s">
        <v>69</v>
      </c>
      <c r="HB16" t="s">
        <v>69</v>
      </c>
      <c r="HC16">
        <v>560</v>
      </c>
      <c r="HD16" t="s">
        <v>70</v>
      </c>
      <c r="HE16" t="s">
        <v>69</v>
      </c>
      <c r="HF16" t="s">
        <v>71</v>
      </c>
      <c r="HG16" t="s">
        <v>69</v>
      </c>
      <c r="HH16">
        <v>75.066999999999993</v>
      </c>
      <c r="HI16" t="s">
        <v>69</v>
      </c>
      <c r="HJ16" t="s">
        <v>69</v>
      </c>
      <c r="HK16">
        <v>562</v>
      </c>
      <c r="HL16" t="s">
        <v>116</v>
      </c>
      <c r="HM16" t="s">
        <v>69</v>
      </c>
      <c r="HN16" t="s">
        <v>117</v>
      </c>
      <c r="HO16" t="s">
        <v>69</v>
      </c>
      <c r="HP16">
        <v>149.208</v>
      </c>
      <c r="HQ16" t="s">
        <v>69</v>
      </c>
      <c r="HR16" t="s">
        <v>69</v>
      </c>
      <c r="HS16">
        <v>580</v>
      </c>
      <c r="HT16" t="s">
        <v>116</v>
      </c>
      <c r="HU16" t="s">
        <v>69</v>
      </c>
      <c r="HV16" t="s">
        <v>117</v>
      </c>
      <c r="HW16" t="s">
        <v>69</v>
      </c>
      <c r="HX16">
        <v>149.208</v>
      </c>
      <c r="HY16" t="s">
        <v>69</v>
      </c>
      <c r="HZ16" t="s">
        <v>69</v>
      </c>
      <c r="IA16">
        <v>584</v>
      </c>
      <c r="IB16" t="s">
        <v>157</v>
      </c>
      <c r="IC16" t="s">
        <v>69</v>
      </c>
      <c r="ID16" t="s">
        <v>75</v>
      </c>
      <c r="IE16" t="s">
        <v>69</v>
      </c>
      <c r="IF16">
        <v>155.15600000000001</v>
      </c>
      <c r="IG16" t="s">
        <v>69</v>
      </c>
      <c r="IH16" t="s">
        <v>69</v>
      </c>
      <c r="II16">
        <v>588</v>
      </c>
      <c r="IJ16" t="s">
        <v>72</v>
      </c>
      <c r="IK16" t="s">
        <v>69</v>
      </c>
      <c r="IL16" t="s">
        <v>71</v>
      </c>
      <c r="IM16" t="s">
        <v>69</v>
      </c>
      <c r="IN16">
        <v>131.17500000000001</v>
      </c>
      <c r="IO16" t="s">
        <v>69</v>
      </c>
      <c r="IP16" t="s">
        <v>69</v>
      </c>
      <c r="IQ16">
        <v>591</v>
      </c>
      <c r="IR16" t="s">
        <v>73</v>
      </c>
      <c r="IS16" t="s">
        <v>69</v>
      </c>
      <c r="IT16" t="s">
        <v>71</v>
      </c>
      <c r="IU16" t="s">
        <v>69</v>
      </c>
      <c r="IV16">
        <v>89.093999999999994</v>
      </c>
      <c r="IW16" t="s">
        <v>69</v>
      </c>
      <c r="IX16" t="s">
        <v>69</v>
      </c>
      <c r="IY16">
        <v>592</v>
      </c>
      <c r="IZ16" t="s">
        <v>73</v>
      </c>
      <c r="JA16" t="s">
        <v>69</v>
      </c>
      <c r="JB16" t="s">
        <v>71</v>
      </c>
      <c r="JC16" t="s">
        <v>69</v>
      </c>
      <c r="JD16">
        <v>89.093999999999994</v>
      </c>
      <c r="JE16" t="s">
        <v>69</v>
      </c>
      <c r="JF16" t="s">
        <v>69</v>
      </c>
      <c r="JG16">
        <v>599</v>
      </c>
      <c r="JH16" t="s">
        <v>73</v>
      </c>
      <c r="JI16" t="s">
        <v>69</v>
      </c>
      <c r="JJ16" t="s">
        <v>71</v>
      </c>
      <c r="JK16" t="s">
        <v>69</v>
      </c>
      <c r="JL16">
        <v>89.093999999999994</v>
      </c>
      <c r="JM16" t="s">
        <v>69</v>
      </c>
      <c r="JN16" t="s">
        <v>69</v>
      </c>
    </row>
    <row r="17" spans="1:274" x14ac:dyDescent="0.25">
      <c r="A17">
        <v>7</v>
      </c>
      <c r="B17" t="str">
        <f>HYPERLINK("http://www.ncbi.nlm.nih.gov/protein/XP_046955414.1","XP_046955414.1")</f>
        <v>XP_046955414.1</v>
      </c>
      <c r="C17">
        <v>38764</v>
      </c>
      <c r="D17" t="str">
        <f>HYPERLINK("http://www.ncbi.nlm.nih.gov/Taxonomy/Browser/wwwtax.cgi?mode=Info&amp;id=61384&amp;lvl=3&amp;lin=f&amp;keep=1&amp;srchmode=1&amp;unlock","61384")</f>
        <v>61384</v>
      </c>
      <c r="E17" t="s">
        <v>66</v>
      </c>
      <c r="F17" t="str">
        <f>HYPERLINK("http://www.ncbi.nlm.nih.gov/Taxonomy/Browser/wwwtax.cgi?mode=Info&amp;id=61384&amp;lvl=3&amp;lin=f&amp;keep=1&amp;srchmode=1&amp;unlock","Lynx rufus")</f>
        <v>Lynx rufus</v>
      </c>
      <c r="G17" t="s">
        <v>93</v>
      </c>
      <c r="H17" t="str">
        <f>HYPERLINK("http://www.ncbi.nlm.nih.gov/protein/XP_046955414.1","mitochondrial import receptor subunit TOM70")</f>
        <v>mitochondrial import receptor subunit TOM70</v>
      </c>
      <c r="I17" t="s">
        <v>270</v>
      </c>
      <c r="J17" t="s">
        <v>69</v>
      </c>
      <c r="K17">
        <v>216</v>
      </c>
      <c r="L17" t="s">
        <v>145</v>
      </c>
      <c r="M17" t="s">
        <v>69</v>
      </c>
      <c r="N17" t="s">
        <v>71</v>
      </c>
      <c r="O17" t="s">
        <v>69</v>
      </c>
      <c r="P17">
        <v>131.17500000000001</v>
      </c>
      <c r="Q17" t="s">
        <v>69</v>
      </c>
      <c r="R17" t="s">
        <v>69</v>
      </c>
      <c r="S17">
        <v>257</v>
      </c>
      <c r="T17" t="s">
        <v>151</v>
      </c>
      <c r="U17" t="s">
        <v>69</v>
      </c>
      <c r="V17" t="s">
        <v>152</v>
      </c>
      <c r="W17" t="s">
        <v>69</v>
      </c>
      <c r="X17">
        <v>165.19200000000001</v>
      </c>
      <c r="Y17" t="s">
        <v>69</v>
      </c>
      <c r="Z17" t="s">
        <v>69</v>
      </c>
      <c r="AA17">
        <v>260</v>
      </c>
      <c r="AB17" t="s">
        <v>155</v>
      </c>
      <c r="AC17" t="s">
        <v>69</v>
      </c>
      <c r="AD17" t="s">
        <v>150</v>
      </c>
      <c r="AE17" t="s">
        <v>69</v>
      </c>
      <c r="AF17">
        <v>105.093</v>
      </c>
      <c r="AG17" t="s">
        <v>69</v>
      </c>
      <c r="AH17" t="s">
        <v>69</v>
      </c>
      <c r="AI17">
        <v>261</v>
      </c>
      <c r="AJ17" t="s">
        <v>69</v>
      </c>
      <c r="AK17" t="s">
        <v>69</v>
      </c>
      <c r="AL17" t="s">
        <v>152</v>
      </c>
      <c r="AM17" t="s">
        <v>69</v>
      </c>
      <c r="AN17">
        <v>181.191</v>
      </c>
      <c r="AO17" t="s">
        <v>69</v>
      </c>
      <c r="AP17" t="s">
        <v>69</v>
      </c>
      <c r="AQ17">
        <v>341</v>
      </c>
      <c r="AR17" t="s">
        <v>72</v>
      </c>
      <c r="AS17" t="s">
        <v>69</v>
      </c>
      <c r="AT17" t="s">
        <v>71</v>
      </c>
      <c r="AU17" t="s">
        <v>69</v>
      </c>
      <c r="AV17">
        <v>131.17500000000001</v>
      </c>
      <c r="AW17" t="s">
        <v>69</v>
      </c>
      <c r="AX17" t="s">
        <v>69</v>
      </c>
      <c r="AY17">
        <v>342</v>
      </c>
      <c r="AZ17" t="s">
        <v>72</v>
      </c>
      <c r="BA17" t="s">
        <v>69</v>
      </c>
      <c r="BB17" t="s">
        <v>71</v>
      </c>
      <c r="BC17" t="s">
        <v>69</v>
      </c>
      <c r="BD17">
        <v>131.17500000000001</v>
      </c>
      <c r="BE17" t="s">
        <v>69</v>
      </c>
      <c r="BF17" t="s">
        <v>69</v>
      </c>
      <c r="BG17">
        <v>376</v>
      </c>
      <c r="BH17" t="s">
        <v>155</v>
      </c>
      <c r="BI17" t="s">
        <v>69</v>
      </c>
      <c r="BJ17" t="s">
        <v>150</v>
      </c>
      <c r="BK17" t="s">
        <v>69</v>
      </c>
      <c r="BL17">
        <v>105.093</v>
      </c>
      <c r="BM17" t="s">
        <v>69</v>
      </c>
      <c r="BN17" t="s">
        <v>69</v>
      </c>
      <c r="BO17">
        <v>379</v>
      </c>
      <c r="BP17" t="s">
        <v>116</v>
      </c>
      <c r="BQ17" t="s">
        <v>69</v>
      </c>
      <c r="BR17" t="s">
        <v>117</v>
      </c>
      <c r="BS17" t="s">
        <v>69</v>
      </c>
      <c r="BT17">
        <v>149.208</v>
      </c>
      <c r="BU17" t="s">
        <v>69</v>
      </c>
      <c r="BV17" t="s">
        <v>69</v>
      </c>
      <c r="BW17">
        <v>410</v>
      </c>
      <c r="BX17" t="s">
        <v>147</v>
      </c>
      <c r="BY17" t="s">
        <v>69</v>
      </c>
      <c r="BZ17" t="s">
        <v>148</v>
      </c>
      <c r="CA17" t="s">
        <v>69</v>
      </c>
      <c r="CB17">
        <v>146.14599999999999</v>
      </c>
      <c r="CC17" t="s">
        <v>69</v>
      </c>
      <c r="CD17" t="s">
        <v>69</v>
      </c>
      <c r="CE17">
        <v>411</v>
      </c>
      <c r="CF17" t="s">
        <v>72</v>
      </c>
      <c r="CG17" t="s">
        <v>69</v>
      </c>
      <c r="CH17" t="s">
        <v>71</v>
      </c>
      <c r="CI17" t="s">
        <v>69</v>
      </c>
      <c r="CJ17">
        <v>131.17500000000001</v>
      </c>
      <c r="CK17" t="s">
        <v>69</v>
      </c>
      <c r="CL17" t="s">
        <v>69</v>
      </c>
      <c r="CM17">
        <v>413</v>
      </c>
      <c r="CN17" t="s">
        <v>145</v>
      </c>
      <c r="CO17" t="s">
        <v>69</v>
      </c>
      <c r="CP17" t="s">
        <v>71</v>
      </c>
      <c r="CQ17" t="s">
        <v>69</v>
      </c>
      <c r="CR17">
        <v>131.17500000000001</v>
      </c>
      <c r="CS17" t="s">
        <v>69</v>
      </c>
      <c r="CT17" t="s">
        <v>69</v>
      </c>
      <c r="CU17">
        <v>415</v>
      </c>
      <c r="CV17" t="s">
        <v>72</v>
      </c>
      <c r="CW17" t="s">
        <v>69</v>
      </c>
      <c r="CX17" t="s">
        <v>71</v>
      </c>
      <c r="CY17" t="s">
        <v>69</v>
      </c>
      <c r="CZ17">
        <v>131.17500000000001</v>
      </c>
      <c r="DA17" t="s">
        <v>69</v>
      </c>
      <c r="DB17" t="s">
        <v>69</v>
      </c>
      <c r="DC17">
        <v>444</v>
      </c>
      <c r="DD17" t="s">
        <v>151</v>
      </c>
      <c r="DE17" t="s">
        <v>69</v>
      </c>
      <c r="DF17" t="s">
        <v>152</v>
      </c>
      <c r="DG17" t="s">
        <v>69</v>
      </c>
      <c r="DH17">
        <v>165.19200000000001</v>
      </c>
      <c r="DI17" t="s">
        <v>69</v>
      </c>
      <c r="DJ17" t="s">
        <v>69</v>
      </c>
      <c r="DK17">
        <v>481</v>
      </c>
      <c r="DL17" t="s">
        <v>73</v>
      </c>
      <c r="DM17" t="s">
        <v>69</v>
      </c>
      <c r="DN17" t="s">
        <v>71</v>
      </c>
      <c r="DO17" t="s">
        <v>69</v>
      </c>
      <c r="DP17">
        <v>89.093999999999994</v>
      </c>
      <c r="DQ17" t="s">
        <v>69</v>
      </c>
      <c r="DR17" t="s">
        <v>69</v>
      </c>
      <c r="DS17">
        <v>482</v>
      </c>
      <c r="DT17" t="s">
        <v>72</v>
      </c>
      <c r="DU17" t="s">
        <v>69</v>
      </c>
      <c r="DV17" t="s">
        <v>71</v>
      </c>
      <c r="DW17" t="s">
        <v>69</v>
      </c>
      <c r="DX17">
        <v>131.17500000000001</v>
      </c>
      <c r="DY17" t="s">
        <v>69</v>
      </c>
      <c r="DZ17" t="s">
        <v>69</v>
      </c>
      <c r="EA17">
        <v>512</v>
      </c>
      <c r="EB17" t="s">
        <v>149</v>
      </c>
      <c r="EC17" t="s">
        <v>69</v>
      </c>
      <c r="ED17" t="s">
        <v>150</v>
      </c>
      <c r="EE17" t="s">
        <v>69</v>
      </c>
      <c r="EF17">
        <v>119.119</v>
      </c>
      <c r="EG17" t="s">
        <v>69</v>
      </c>
      <c r="EH17" t="s">
        <v>69</v>
      </c>
      <c r="EI17">
        <v>516</v>
      </c>
      <c r="EJ17" t="s">
        <v>157</v>
      </c>
      <c r="EK17" t="s">
        <v>69</v>
      </c>
      <c r="EL17" t="s">
        <v>75</v>
      </c>
      <c r="EM17" t="s">
        <v>69</v>
      </c>
      <c r="EN17">
        <v>155.15600000000001</v>
      </c>
      <c r="EO17" t="s">
        <v>69</v>
      </c>
      <c r="EP17" t="s">
        <v>69</v>
      </c>
      <c r="EQ17">
        <v>519</v>
      </c>
      <c r="ER17" t="s">
        <v>72</v>
      </c>
      <c r="ES17" t="s">
        <v>69</v>
      </c>
      <c r="ET17" t="s">
        <v>71</v>
      </c>
      <c r="EU17" t="s">
        <v>69</v>
      </c>
      <c r="EV17">
        <v>131.17500000000001</v>
      </c>
      <c r="EW17" t="s">
        <v>69</v>
      </c>
      <c r="EX17" t="s">
        <v>69</v>
      </c>
      <c r="EY17">
        <v>522</v>
      </c>
      <c r="EZ17" t="s">
        <v>72</v>
      </c>
      <c r="FA17" t="s">
        <v>69</v>
      </c>
      <c r="FB17" t="s">
        <v>71</v>
      </c>
      <c r="FC17" t="s">
        <v>69</v>
      </c>
      <c r="FD17">
        <v>131.17500000000001</v>
      </c>
      <c r="FE17" t="s">
        <v>69</v>
      </c>
      <c r="FF17" t="s">
        <v>69</v>
      </c>
      <c r="FG17">
        <v>523</v>
      </c>
      <c r="FH17" t="s">
        <v>147</v>
      </c>
      <c r="FI17" t="s">
        <v>69</v>
      </c>
      <c r="FJ17" t="s">
        <v>148</v>
      </c>
      <c r="FK17" t="s">
        <v>69</v>
      </c>
      <c r="FL17">
        <v>146.14599999999999</v>
      </c>
      <c r="FM17" t="s">
        <v>69</v>
      </c>
      <c r="FN17" t="s">
        <v>69</v>
      </c>
      <c r="FO17">
        <v>547</v>
      </c>
      <c r="FP17" t="s">
        <v>151</v>
      </c>
      <c r="FQ17" t="s">
        <v>69</v>
      </c>
      <c r="FR17" t="s">
        <v>152</v>
      </c>
      <c r="FS17" t="s">
        <v>69</v>
      </c>
      <c r="FT17">
        <v>165.19200000000001</v>
      </c>
      <c r="FU17" t="s">
        <v>69</v>
      </c>
      <c r="FV17" t="s">
        <v>69</v>
      </c>
      <c r="FW17">
        <v>550</v>
      </c>
      <c r="FX17" t="s">
        <v>119</v>
      </c>
      <c r="FY17" t="s">
        <v>69</v>
      </c>
      <c r="FZ17" t="s">
        <v>120</v>
      </c>
      <c r="GA17" t="s">
        <v>69</v>
      </c>
      <c r="GB17">
        <v>147.131</v>
      </c>
      <c r="GC17" t="s">
        <v>69</v>
      </c>
      <c r="GD17" t="s">
        <v>69</v>
      </c>
      <c r="GE17">
        <v>551</v>
      </c>
      <c r="GF17" t="s">
        <v>149</v>
      </c>
      <c r="GG17" t="s">
        <v>69</v>
      </c>
      <c r="GH17" t="s">
        <v>150</v>
      </c>
      <c r="GI17" t="s">
        <v>69</v>
      </c>
      <c r="GJ17">
        <v>119.119</v>
      </c>
      <c r="GK17" t="s">
        <v>69</v>
      </c>
      <c r="GL17" t="s">
        <v>69</v>
      </c>
      <c r="GM17">
        <v>554</v>
      </c>
      <c r="GN17" t="s">
        <v>149</v>
      </c>
      <c r="GO17" t="s">
        <v>69</v>
      </c>
      <c r="GP17" t="s">
        <v>150</v>
      </c>
      <c r="GQ17" t="s">
        <v>69</v>
      </c>
      <c r="GR17">
        <v>119.119</v>
      </c>
      <c r="GS17" t="s">
        <v>69</v>
      </c>
      <c r="GT17" t="s">
        <v>69</v>
      </c>
      <c r="GU17">
        <v>558</v>
      </c>
      <c r="GV17" t="s">
        <v>147</v>
      </c>
      <c r="GW17" t="s">
        <v>69</v>
      </c>
      <c r="GX17" t="s">
        <v>148</v>
      </c>
      <c r="GY17" t="s">
        <v>69</v>
      </c>
      <c r="GZ17">
        <v>146.14599999999999</v>
      </c>
      <c r="HA17" t="s">
        <v>69</v>
      </c>
      <c r="HB17" t="s">
        <v>69</v>
      </c>
      <c r="HC17">
        <v>560</v>
      </c>
      <c r="HD17" t="s">
        <v>70</v>
      </c>
      <c r="HE17" t="s">
        <v>69</v>
      </c>
      <c r="HF17" t="s">
        <v>71</v>
      </c>
      <c r="HG17" t="s">
        <v>69</v>
      </c>
      <c r="HH17">
        <v>75.066999999999993</v>
      </c>
      <c r="HI17" t="s">
        <v>69</v>
      </c>
      <c r="HJ17" t="s">
        <v>69</v>
      </c>
      <c r="HK17">
        <v>562</v>
      </c>
      <c r="HL17" t="s">
        <v>116</v>
      </c>
      <c r="HM17" t="s">
        <v>69</v>
      </c>
      <c r="HN17" t="s">
        <v>117</v>
      </c>
      <c r="HO17" t="s">
        <v>69</v>
      </c>
      <c r="HP17">
        <v>149.208</v>
      </c>
      <c r="HQ17" t="s">
        <v>69</v>
      </c>
      <c r="HR17" t="s">
        <v>69</v>
      </c>
      <c r="HS17">
        <v>580</v>
      </c>
      <c r="HT17" t="s">
        <v>116</v>
      </c>
      <c r="HU17" t="s">
        <v>69</v>
      </c>
      <c r="HV17" t="s">
        <v>117</v>
      </c>
      <c r="HW17" t="s">
        <v>69</v>
      </c>
      <c r="HX17">
        <v>149.208</v>
      </c>
      <c r="HY17" t="s">
        <v>69</v>
      </c>
      <c r="HZ17" t="s">
        <v>69</v>
      </c>
      <c r="IA17">
        <v>584</v>
      </c>
      <c r="IB17" t="s">
        <v>157</v>
      </c>
      <c r="IC17" t="s">
        <v>69</v>
      </c>
      <c r="ID17" t="s">
        <v>75</v>
      </c>
      <c r="IE17" t="s">
        <v>69</v>
      </c>
      <c r="IF17">
        <v>155.15600000000001</v>
      </c>
      <c r="IG17" t="s">
        <v>69</v>
      </c>
      <c r="IH17" t="s">
        <v>69</v>
      </c>
      <c r="II17">
        <v>588</v>
      </c>
      <c r="IJ17" t="s">
        <v>72</v>
      </c>
      <c r="IK17" t="s">
        <v>69</v>
      </c>
      <c r="IL17" t="s">
        <v>71</v>
      </c>
      <c r="IM17" t="s">
        <v>69</v>
      </c>
      <c r="IN17">
        <v>131.17500000000001</v>
      </c>
      <c r="IO17" t="s">
        <v>69</v>
      </c>
      <c r="IP17" t="s">
        <v>69</v>
      </c>
      <c r="IQ17">
        <v>591</v>
      </c>
      <c r="IR17" t="s">
        <v>73</v>
      </c>
      <c r="IS17" t="s">
        <v>69</v>
      </c>
      <c r="IT17" t="s">
        <v>71</v>
      </c>
      <c r="IU17" t="s">
        <v>69</v>
      </c>
      <c r="IV17">
        <v>89.093999999999994</v>
      </c>
      <c r="IW17" t="s">
        <v>69</v>
      </c>
      <c r="IX17" t="s">
        <v>69</v>
      </c>
      <c r="IY17">
        <v>592</v>
      </c>
      <c r="IZ17" t="s">
        <v>73</v>
      </c>
      <c r="JA17" t="s">
        <v>69</v>
      </c>
      <c r="JB17" t="s">
        <v>71</v>
      </c>
      <c r="JC17" t="s">
        <v>69</v>
      </c>
      <c r="JD17">
        <v>89.093999999999994</v>
      </c>
      <c r="JE17" t="s">
        <v>69</v>
      </c>
      <c r="JF17" t="s">
        <v>69</v>
      </c>
      <c r="JG17">
        <v>599</v>
      </c>
      <c r="JH17" t="s">
        <v>73</v>
      </c>
      <c r="JI17" t="s">
        <v>69</v>
      </c>
      <c r="JJ17" t="s">
        <v>71</v>
      </c>
      <c r="JK17" t="s">
        <v>69</v>
      </c>
      <c r="JL17">
        <v>89.093999999999994</v>
      </c>
      <c r="JM17" t="s">
        <v>69</v>
      </c>
      <c r="JN17" t="s">
        <v>69</v>
      </c>
    </row>
    <row r="18" spans="1:274" x14ac:dyDescent="0.25">
      <c r="A18">
        <v>7</v>
      </c>
      <c r="B18" t="str">
        <f>HYPERLINK("http://www.ncbi.nlm.nih.gov/protein/XP_047731262.1","XP_047731262.1")</f>
        <v>XP_047731262.1</v>
      </c>
      <c r="C18">
        <v>56399</v>
      </c>
      <c r="D18" t="str">
        <f>HYPERLINK("http://www.ncbi.nlm.nih.gov/Taxonomy/Browser/wwwtax.cgi?mode=Info&amp;id=61388&amp;lvl=3&amp;lin=f&amp;keep=1&amp;srchmode=1&amp;unlock","61388")</f>
        <v>61388</v>
      </c>
      <c r="E18" t="s">
        <v>66</v>
      </c>
      <c r="F18" t="str">
        <f>HYPERLINK("http://www.ncbi.nlm.nih.gov/Taxonomy/Browser/wwwtax.cgi?mode=Info&amp;id=61388&amp;lvl=3&amp;lin=f&amp;keep=1&amp;srchmode=1&amp;unlock","Prionailurus viverrinus")</f>
        <v>Prionailurus viverrinus</v>
      </c>
      <c r="G18" t="s">
        <v>94</v>
      </c>
      <c r="H18" t="str">
        <f>HYPERLINK("http://www.ncbi.nlm.nih.gov/protein/XP_047731262.1","mitochondrial import receptor subunit TOM70")</f>
        <v>mitochondrial import receptor subunit TOM70</v>
      </c>
      <c r="I18" t="s">
        <v>270</v>
      </c>
      <c r="J18" t="s">
        <v>69</v>
      </c>
      <c r="K18">
        <v>216</v>
      </c>
      <c r="L18" t="s">
        <v>145</v>
      </c>
      <c r="M18" t="s">
        <v>69</v>
      </c>
      <c r="N18" t="s">
        <v>71</v>
      </c>
      <c r="O18" t="s">
        <v>69</v>
      </c>
      <c r="P18">
        <v>131.17500000000001</v>
      </c>
      <c r="Q18" t="s">
        <v>69</v>
      </c>
      <c r="R18" t="s">
        <v>69</v>
      </c>
      <c r="S18">
        <v>257</v>
      </c>
      <c r="T18" t="s">
        <v>151</v>
      </c>
      <c r="U18" t="s">
        <v>69</v>
      </c>
      <c r="V18" t="s">
        <v>152</v>
      </c>
      <c r="W18" t="s">
        <v>69</v>
      </c>
      <c r="X18">
        <v>165.19200000000001</v>
      </c>
      <c r="Y18" t="s">
        <v>69</v>
      </c>
      <c r="Z18" t="s">
        <v>69</v>
      </c>
      <c r="AA18">
        <v>260</v>
      </c>
      <c r="AB18" t="s">
        <v>155</v>
      </c>
      <c r="AC18" t="s">
        <v>69</v>
      </c>
      <c r="AD18" t="s">
        <v>150</v>
      </c>
      <c r="AE18" t="s">
        <v>69</v>
      </c>
      <c r="AF18">
        <v>105.093</v>
      </c>
      <c r="AG18" t="s">
        <v>69</v>
      </c>
      <c r="AH18" t="s">
        <v>69</v>
      </c>
      <c r="AI18">
        <v>261</v>
      </c>
      <c r="AJ18" t="s">
        <v>69</v>
      </c>
      <c r="AK18" t="s">
        <v>69</v>
      </c>
      <c r="AL18" t="s">
        <v>152</v>
      </c>
      <c r="AM18" t="s">
        <v>69</v>
      </c>
      <c r="AN18">
        <v>181.191</v>
      </c>
      <c r="AO18" t="s">
        <v>69</v>
      </c>
      <c r="AP18" t="s">
        <v>69</v>
      </c>
      <c r="AQ18">
        <v>341</v>
      </c>
      <c r="AR18" t="s">
        <v>72</v>
      </c>
      <c r="AS18" t="s">
        <v>69</v>
      </c>
      <c r="AT18" t="s">
        <v>71</v>
      </c>
      <c r="AU18" t="s">
        <v>69</v>
      </c>
      <c r="AV18">
        <v>131.17500000000001</v>
      </c>
      <c r="AW18" t="s">
        <v>69</v>
      </c>
      <c r="AX18" t="s">
        <v>69</v>
      </c>
      <c r="AY18">
        <v>342</v>
      </c>
      <c r="AZ18" t="s">
        <v>72</v>
      </c>
      <c r="BA18" t="s">
        <v>69</v>
      </c>
      <c r="BB18" t="s">
        <v>71</v>
      </c>
      <c r="BC18" t="s">
        <v>69</v>
      </c>
      <c r="BD18">
        <v>131.17500000000001</v>
      </c>
      <c r="BE18" t="s">
        <v>69</v>
      </c>
      <c r="BF18" t="s">
        <v>69</v>
      </c>
      <c r="BG18">
        <v>376</v>
      </c>
      <c r="BH18" t="s">
        <v>155</v>
      </c>
      <c r="BI18" t="s">
        <v>69</v>
      </c>
      <c r="BJ18" t="s">
        <v>150</v>
      </c>
      <c r="BK18" t="s">
        <v>69</v>
      </c>
      <c r="BL18">
        <v>105.093</v>
      </c>
      <c r="BM18" t="s">
        <v>69</v>
      </c>
      <c r="BN18" t="s">
        <v>69</v>
      </c>
      <c r="BO18">
        <v>379</v>
      </c>
      <c r="BP18" t="s">
        <v>116</v>
      </c>
      <c r="BQ18" t="s">
        <v>69</v>
      </c>
      <c r="BR18" t="s">
        <v>117</v>
      </c>
      <c r="BS18" t="s">
        <v>69</v>
      </c>
      <c r="BT18">
        <v>149.208</v>
      </c>
      <c r="BU18" t="s">
        <v>69</v>
      </c>
      <c r="BV18" t="s">
        <v>69</v>
      </c>
      <c r="BW18">
        <v>410</v>
      </c>
      <c r="BX18" t="s">
        <v>147</v>
      </c>
      <c r="BY18" t="s">
        <v>69</v>
      </c>
      <c r="BZ18" t="s">
        <v>148</v>
      </c>
      <c r="CA18" t="s">
        <v>69</v>
      </c>
      <c r="CB18">
        <v>146.14599999999999</v>
      </c>
      <c r="CC18" t="s">
        <v>69</v>
      </c>
      <c r="CD18" t="s">
        <v>69</v>
      </c>
      <c r="CE18">
        <v>411</v>
      </c>
      <c r="CF18" t="s">
        <v>72</v>
      </c>
      <c r="CG18" t="s">
        <v>69</v>
      </c>
      <c r="CH18" t="s">
        <v>71</v>
      </c>
      <c r="CI18" t="s">
        <v>69</v>
      </c>
      <c r="CJ18">
        <v>131.17500000000001</v>
      </c>
      <c r="CK18" t="s">
        <v>69</v>
      </c>
      <c r="CL18" t="s">
        <v>69</v>
      </c>
      <c r="CM18">
        <v>413</v>
      </c>
      <c r="CN18" t="s">
        <v>145</v>
      </c>
      <c r="CO18" t="s">
        <v>69</v>
      </c>
      <c r="CP18" t="s">
        <v>71</v>
      </c>
      <c r="CQ18" t="s">
        <v>69</v>
      </c>
      <c r="CR18">
        <v>131.17500000000001</v>
      </c>
      <c r="CS18" t="s">
        <v>69</v>
      </c>
      <c r="CT18" t="s">
        <v>69</v>
      </c>
      <c r="CU18">
        <v>415</v>
      </c>
      <c r="CV18" t="s">
        <v>72</v>
      </c>
      <c r="CW18" t="s">
        <v>69</v>
      </c>
      <c r="CX18" t="s">
        <v>71</v>
      </c>
      <c r="CY18" t="s">
        <v>69</v>
      </c>
      <c r="CZ18">
        <v>131.17500000000001</v>
      </c>
      <c r="DA18" t="s">
        <v>69</v>
      </c>
      <c r="DB18" t="s">
        <v>69</v>
      </c>
      <c r="DC18">
        <v>444</v>
      </c>
      <c r="DD18" t="s">
        <v>151</v>
      </c>
      <c r="DE18" t="s">
        <v>69</v>
      </c>
      <c r="DF18" t="s">
        <v>152</v>
      </c>
      <c r="DG18" t="s">
        <v>69</v>
      </c>
      <c r="DH18">
        <v>165.19200000000001</v>
      </c>
      <c r="DI18" t="s">
        <v>69</v>
      </c>
      <c r="DJ18" t="s">
        <v>69</v>
      </c>
      <c r="DK18">
        <v>481</v>
      </c>
      <c r="DL18" t="s">
        <v>73</v>
      </c>
      <c r="DM18" t="s">
        <v>69</v>
      </c>
      <c r="DN18" t="s">
        <v>71</v>
      </c>
      <c r="DO18" t="s">
        <v>69</v>
      </c>
      <c r="DP18">
        <v>89.093999999999994</v>
      </c>
      <c r="DQ18" t="s">
        <v>69</v>
      </c>
      <c r="DR18" t="s">
        <v>69</v>
      </c>
      <c r="DS18">
        <v>482</v>
      </c>
      <c r="DT18" t="s">
        <v>72</v>
      </c>
      <c r="DU18" t="s">
        <v>69</v>
      </c>
      <c r="DV18" t="s">
        <v>71</v>
      </c>
      <c r="DW18" t="s">
        <v>69</v>
      </c>
      <c r="DX18">
        <v>131.17500000000001</v>
      </c>
      <c r="DY18" t="s">
        <v>69</v>
      </c>
      <c r="DZ18" t="s">
        <v>69</v>
      </c>
      <c r="EA18">
        <v>512</v>
      </c>
      <c r="EB18" t="s">
        <v>149</v>
      </c>
      <c r="EC18" t="s">
        <v>69</v>
      </c>
      <c r="ED18" t="s">
        <v>150</v>
      </c>
      <c r="EE18" t="s">
        <v>69</v>
      </c>
      <c r="EF18">
        <v>119.119</v>
      </c>
      <c r="EG18" t="s">
        <v>69</v>
      </c>
      <c r="EH18" t="s">
        <v>69</v>
      </c>
      <c r="EI18">
        <v>516</v>
      </c>
      <c r="EJ18" t="s">
        <v>157</v>
      </c>
      <c r="EK18" t="s">
        <v>69</v>
      </c>
      <c r="EL18" t="s">
        <v>75</v>
      </c>
      <c r="EM18" t="s">
        <v>69</v>
      </c>
      <c r="EN18">
        <v>155.15600000000001</v>
      </c>
      <c r="EO18" t="s">
        <v>69</v>
      </c>
      <c r="EP18" t="s">
        <v>69</v>
      </c>
      <c r="EQ18">
        <v>519</v>
      </c>
      <c r="ER18" t="s">
        <v>72</v>
      </c>
      <c r="ES18" t="s">
        <v>69</v>
      </c>
      <c r="ET18" t="s">
        <v>71</v>
      </c>
      <c r="EU18" t="s">
        <v>69</v>
      </c>
      <c r="EV18">
        <v>131.17500000000001</v>
      </c>
      <c r="EW18" t="s">
        <v>69</v>
      </c>
      <c r="EX18" t="s">
        <v>69</v>
      </c>
      <c r="EY18">
        <v>522</v>
      </c>
      <c r="EZ18" t="s">
        <v>72</v>
      </c>
      <c r="FA18" t="s">
        <v>69</v>
      </c>
      <c r="FB18" t="s">
        <v>71</v>
      </c>
      <c r="FC18" t="s">
        <v>69</v>
      </c>
      <c r="FD18">
        <v>131.17500000000001</v>
      </c>
      <c r="FE18" t="s">
        <v>69</v>
      </c>
      <c r="FF18" t="s">
        <v>69</v>
      </c>
      <c r="FG18">
        <v>523</v>
      </c>
      <c r="FH18" t="s">
        <v>147</v>
      </c>
      <c r="FI18" t="s">
        <v>69</v>
      </c>
      <c r="FJ18" t="s">
        <v>148</v>
      </c>
      <c r="FK18" t="s">
        <v>69</v>
      </c>
      <c r="FL18">
        <v>146.14599999999999</v>
      </c>
      <c r="FM18" t="s">
        <v>69</v>
      </c>
      <c r="FN18" t="s">
        <v>69</v>
      </c>
      <c r="FO18">
        <v>547</v>
      </c>
      <c r="FP18" t="s">
        <v>151</v>
      </c>
      <c r="FQ18" t="s">
        <v>69</v>
      </c>
      <c r="FR18" t="s">
        <v>152</v>
      </c>
      <c r="FS18" t="s">
        <v>69</v>
      </c>
      <c r="FT18">
        <v>165.19200000000001</v>
      </c>
      <c r="FU18" t="s">
        <v>69</v>
      </c>
      <c r="FV18" t="s">
        <v>69</v>
      </c>
      <c r="FW18">
        <v>550</v>
      </c>
      <c r="FX18" t="s">
        <v>119</v>
      </c>
      <c r="FY18" t="s">
        <v>69</v>
      </c>
      <c r="FZ18" t="s">
        <v>120</v>
      </c>
      <c r="GA18" t="s">
        <v>69</v>
      </c>
      <c r="GB18">
        <v>147.131</v>
      </c>
      <c r="GC18" t="s">
        <v>69</v>
      </c>
      <c r="GD18" t="s">
        <v>69</v>
      </c>
      <c r="GE18">
        <v>551</v>
      </c>
      <c r="GF18" t="s">
        <v>149</v>
      </c>
      <c r="GG18" t="s">
        <v>69</v>
      </c>
      <c r="GH18" t="s">
        <v>150</v>
      </c>
      <c r="GI18" t="s">
        <v>69</v>
      </c>
      <c r="GJ18">
        <v>119.119</v>
      </c>
      <c r="GK18" t="s">
        <v>69</v>
      </c>
      <c r="GL18" t="s">
        <v>69</v>
      </c>
      <c r="GM18">
        <v>554</v>
      </c>
      <c r="GN18" t="s">
        <v>149</v>
      </c>
      <c r="GO18" t="s">
        <v>69</v>
      </c>
      <c r="GP18" t="s">
        <v>150</v>
      </c>
      <c r="GQ18" t="s">
        <v>69</v>
      </c>
      <c r="GR18">
        <v>119.119</v>
      </c>
      <c r="GS18" t="s">
        <v>69</v>
      </c>
      <c r="GT18" t="s">
        <v>69</v>
      </c>
      <c r="GU18">
        <v>558</v>
      </c>
      <c r="GV18" t="s">
        <v>147</v>
      </c>
      <c r="GW18" t="s">
        <v>69</v>
      </c>
      <c r="GX18" t="s">
        <v>148</v>
      </c>
      <c r="GY18" t="s">
        <v>69</v>
      </c>
      <c r="GZ18">
        <v>146.14599999999999</v>
      </c>
      <c r="HA18" t="s">
        <v>69</v>
      </c>
      <c r="HB18" t="s">
        <v>69</v>
      </c>
      <c r="HC18">
        <v>560</v>
      </c>
      <c r="HD18" t="s">
        <v>70</v>
      </c>
      <c r="HE18" t="s">
        <v>69</v>
      </c>
      <c r="HF18" t="s">
        <v>71</v>
      </c>
      <c r="HG18" t="s">
        <v>69</v>
      </c>
      <c r="HH18">
        <v>75.066999999999993</v>
      </c>
      <c r="HI18" t="s">
        <v>69</v>
      </c>
      <c r="HJ18" t="s">
        <v>69</v>
      </c>
      <c r="HK18">
        <v>562</v>
      </c>
      <c r="HL18" t="s">
        <v>116</v>
      </c>
      <c r="HM18" t="s">
        <v>69</v>
      </c>
      <c r="HN18" t="s">
        <v>117</v>
      </c>
      <c r="HO18" t="s">
        <v>69</v>
      </c>
      <c r="HP18">
        <v>149.208</v>
      </c>
      <c r="HQ18" t="s">
        <v>69</v>
      </c>
      <c r="HR18" t="s">
        <v>69</v>
      </c>
      <c r="HS18">
        <v>580</v>
      </c>
      <c r="HT18" t="s">
        <v>116</v>
      </c>
      <c r="HU18" t="s">
        <v>69</v>
      </c>
      <c r="HV18" t="s">
        <v>117</v>
      </c>
      <c r="HW18" t="s">
        <v>69</v>
      </c>
      <c r="HX18">
        <v>149.208</v>
      </c>
      <c r="HY18" t="s">
        <v>69</v>
      </c>
      <c r="HZ18" t="s">
        <v>69</v>
      </c>
      <c r="IA18">
        <v>584</v>
      </c>
      <c r="IB18" t="s">
        <v>157</v>
      </c>
      <c r="IC18" t="s">
        <v>69</v>
      </c>
      <c r="ID18" t="s">
        <v>75</v>
      </c>
      <c r="IE18" t="s">
        <v>69</v>
      </c>
      <c r="IF18">
        <v>155.15600000000001</v>
      </c>
      <c r="IG18" t="s">
        <v>69</v>
      </c>
      <c r="IH18" t="s">
        <v>69</v>
      </c>
      <c r="II18">
        <v>588</v>
      </c>
      <c r="IJ18" t="s">
        <v>72</v>
      </c>
      <c r="IK18" t="s">
        <v>69</v>
      </c>
      <c r="IL18" t="s">
        <v>71</v>
      </c>
      <c r="IM18" t="s">
        <v>69</v>
      </c>
      <c r="IN18">
        <v>131.17500000000001</v>
      </c>
      <c r="IO18" t="s">
        <v>69</v>
      </c>
      <c r="IP18" t="s">
        <v>69</v>
      </c>
      <c r="IQ18">
        <v>591</v>
      </c>
      <c r="IR18" t="s">
        <v>73</v>
      </c>
      <c r="IS18" t="s">
        <v>69</v>
      </c>
      <c r="IT18" t="s">
        <v>71</v>
      </c>
      <c r="IU18" t="s">
        <v>69</v>
      </c>
      <c r="IV18">
        <v>89.093999999999994</v>
      </c>
      <c r="IW18" t="s">
        <v>69</v>
      </c>
      <c r="IX18" t="s">
        <v>69</v>
      </c>
      <c r="IY18">
        <v>592</v>
      </c>
      <c r="IZ18" t="s">
        <v>73</v>
      </c>
      <c r="JA18" t="s">
        <v>69</v>
      </c>
      <c r="JB18" t="s">
        <v>71</v>
      </c>
      <c r="JC18" t="s">
        <v>69</v>
      </c>
      <c r="JD18">
        <v>89.093999999999994</v>
      </c>
      <c r="JE18" t="s">
        <v>69</v>
      </c>
      <c r="JF18" t="s">
        <v>69</v>
      </c>
      <c r="JG18">
        <v>599</v>
      </c>
      <c r="JH18" t="s">
        <v>73</v>
      </c>
      <c r="JI18" t="s">
        <v>69</v>
      </c>
      <c r="JJ18" t="s">
        <v>71</v>
      </c>
      <c r="JK18" t="s">
        <v>69</v>
      </c>
      <c r="JL18">
        <v>89.093999999999994</v>
      </c>
      <c r="JM18" t="s">
        <v>69</v>
      </c>
      <c r="JN18" t="s">
        <v>69</v>
      </c>
    </row>
    <row r="19" spans="1:274" x14ac:dyDescent="0.25">
      <c r="A19">
        <v>7</v>
      </c>
      <c r="B19" t="str">
        <f>HYPERLINK("http://www.ncbi.nlm.nih.gov/protein/XP_004771991.1","XP_004771991.1")</f>
        <v>XP_004771991.1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HYPERLINK("http://www.ncbi.nlm.nih.gov/protein/XP_004771991.1","mitochondrial import receptor subunit TOM70")</f>
        <v>mitochondrial import receptor subunit TOM70</v>
      </c>
      <c r="I19" t="s">
        <v>270</v>
      </c>
      <c r="J19" t="s">
        <v>69</v>
      </c>
      <c r="K19">
        <v>216</v>
      </c>
      <c r="L19" t="s">
        <v>145</v>
      </c>
      <c r="M19" t="s">
        <v>69</v>
      </c>
      <c r="N19" t="s">
        <v>71</v>
      </c>
      <c r="O19" t="s">
        <v>69</v>
      </c>
      <c r="P19">
        <v>131.17500000000001</v>
      </c>
      <c r="Q19" t="s">
        <v>69</v>
      </c>
      <c r="R19" t="s">
        <v>69</v>
      </c>
      <c r="S19">
        <v>257</v>
      </c>
      <c r="T19" t="s">
        <v>151</v>
      </c>
      <c r="U19" t="s">
        <v>69</v>
      </c>
      <c r="V19" t="s">
        <v>152</v>
      </c>
      <c r="W19" t="s">
        <v>69</v>
      </c>
      <c r="X19">
        <v>165.19200000000001</v>
      </c>
      <c r="Y19" t="s">
        <v>69</v>
      </c>
      <c r="Z19" t="s">
        <v>69</v>
      </c>
      <c r="AA19">
        <v>260</v>
      </c>
      <c r="AB19" t="s">
        <v>155</v>
      </c>
      <c r="AC19" t="s">
        <v>69</v>
      </c>
      <c r="AD19" t="s">
        <v>150</v>
      </c>
      <c r="AE19" t="s">
        <v>69</v>
      </c>
      <c r="AF19">
        <v>105.093</v>
      </c>
      <c r="AG19" t="s">
        <v>69</v>
      </c>
      <c r="AH19" t="s">
        <v>69</v>
      </c>
      <c r="AI19">
        <v>261</v>
      </c>
      <c r="AJ19" t="s">
        <v>69</v>
      </c>
      <c r="AK19" t="s">
        <v>69</v>
      </c>
      <c r="AL19" t="s">
        <v>152</v>
      </c>
      <c r="AM19" t="s">
        <v>69</v>
      </c>
      <c r="AN19">
        <v>181.191</v>
      </c>
      <c r="AO19" t="s">
        <v>69</v>
      </c>
      <c r="AP19" t="s">
        <v>69</v>
      </c>
      <c r="AQ19">
        <v>341</v>
      </c>
      <c r="AR19" t="s">
        <v>72</v>
      </c>
      <c r="AS19" t="s">
        <v>69</v>
      </c>
      <c r="AT19" t="s">
        <v>71</v>
      </c>
      <c r="AU19" t="s">
        <v>69</v>
      </c>
      <c r="AV19">
        <v>131.17500000000001</v>
      </c>
      <c r="AW19" t="s">
        <v>69</v>
      </c>
      <c r="AX19" t="s">
        <v>69</v>
      </c>
      <c r="AY19">
        <v>342</v>
      </c>
      <c r="AZ19" t="s">
        <v>72</v>
      </c>
      <c r="BA19" t="s">
        <v>69</v>
      </c>
      <c r="BB19" t="s">
        <v>71</v>
      </c>
      <c r="BC19" t="s">
        <v>69</v>
      </c>
      <c r="BD19">
        <v>131.17500000000001</v>
      </c>
      <c r="BE19" t="s">
        <v>69</v>
      </c>
      <c r="BF19" t="s">
        <v>69</v>
      </c>
      <c r="BG19">
        <v>376</v>
      </c>
      <c r="BH19" t="s">
        <v>155</v>
      </c>
      <c r="BI19" t="s">
        <v>69</v>
      </c>
      <c r="BJ19" t="s">
        <v>150</v>
      </c>
      <c r="BK19" t="s">
        <v>69</v>
      </c>
      <c r="BL19">
        <v>105.093</v>
      </c>
      <c r="BM19" t="s">
        <v>69</v>
      </c>
      <c r="BN19" t="s">
        <v>69</v>
      </c>
      <c r="BO19">
        <v>379</v>
      </c>
      <c r="BP19" t="s">
        <v>116</v>
      </c>
      <c r="BQ19" t="s">
        <v>69</v>
      </c>
      <c r="BR19" t="s">
        <v>117</v>
      </c>
      <c r="BS19" t="s">
        <v>69</v>
      </c>
      <c r="BT19">
        <v>149.208</v>
      </c>
      <c r="BU19" t="s">
        <v>69</v>
      </c>
      <c r="BV19" t="s">
        <v>69</v>
      </c>
      <c r="BW19">
        <v>410</v>
      </c>
      <c r="BX19" t="s">
        <v>147</v>
      </c>
      <c r="BY19" t="s">
        <v>69</v>
      </c>
      <c r="BZ19" t="s">
        <v>148</v>
      </c>
      <c r="CA19" t="s">
        <v>69</v>
      </c>
      <c r="CB19">
        <v>146.14599999999999</v>
      </c>
      <c r="CC19" t="s">
        <v>69</v>
      </c>
      <c r="CD19" t="s">
        <v>69</v>
      </c>
      <c r="CE19">
        <v>411</v>
      </c>
      <c r="CF19" t="s">
        <v>72</v>
      </c>
      <c r="CG19" t="s">
        <v>69</v>
      </c>
      <c r="CH19" t="s">
        <v>71</v>
      </c>
      <c r="CI19" t="s">
        <v>69</v>
      </c>
      <c r="CJ19">
        <v>131.17500000000001</v>
      </c>
      <c r="CK19" t="s">
        <v>69</v>
      </c>
      <c r="CL19" t="s">
        <v>69</v>
      </c>
      <c r="CM19">
        <v>413</v>
      </c>
      <c r="CN19" t="s">
        <v>145</v>
      </c>
      <c r="CO19" t="s">
        <v>69</v>
      </c>
      <c r="CP19" t="s">
        <v>71</v>
      </c>
      <c r="CQ19" t="s">
        <v>69</v>
      </c>
      <c r="CR19">
        <v>131.17500000000001</v>
      </c>
      <c r="CS19" t="s">
        <v>69</v>
      </c>
      <c r="CT19" t="s">
        <v>69</v>
      </c>
      <c r="CU19">
        <v>415</v>
      </c>
      <c r="CV19" t="s">
        <v>72</v>
      </c>
      <c r="CW19" t="s">
        <v>69</v>
      </c>
      <c r="CX19" t="s">
        <v>71</v>
      </c>
      <c r="CY19" t="s">
        <v>69</v>
      </c>
      <c r="CZ19">
        <v>131.17500000000001</v>
      </c>
      <c r="DA19" t="s">
        <v>69</v>
      </c>
      <c r="DB19" t="s">
        <v>69</v>
      </c>
      <c r="DC19">
        <v>444</v>
      </c>
      <c r="DD19" t="s">
        <v>151</v>
      </c>
      <c r="DE19" t="s">
        <v>69</v>
      </c>
      <c r="DF19" t="s">
        <v>152</v>
      </c>
      <c r="DG19" t="s">
        <v>69</v>
      </c>
      <c r="DH19">
        <v>165.19200000000001</v>
      </c>
      <c r="DI19" t="s">
        <v>69</v>
      </c>
      <c r="DJ19" t="s">
        <v>69</v>
      </c>
      <c r="DK19">
        <v>481</v>
      </c>
      <c r="DL19" t="s">
        <v>73</v>
      </c>
      <c r="DM19" t="s">
        <v>69</v>
      </c>
      <c r="DN19" t="s">
        <v>71</v>
      </c>
      <c r="DO19" t="s">
        <v>69</v>
      </c>
      <c r="DP19">
        <v>89.093999999999994</v>
      </c>
      <c r="DQ19" t="s">
        <v>69</v>
      </c>
      <c r="DR19" t="s">
        <v>69</v>
      </c>
      <c r="DS19">
        <v>482</v>
      </c>
      <c r="DT19" t="s">
        <v>72</v>
      </c>
      <c r="DU19" t="s">
        <v>69</v>
      </c>
      <c r="DV19" t="s">
        <v>71</v>
      </c>
      <c r="DW19" t="s">
        <v>69</v>
      </c>
      <c r="DX19">
        <v>131.17500000000001</v>
      </c>
      <c r="DY19" t="s">
        <v>69</v>
      </c>
      <c r="DZ19" t="s">
        <v>69</v>
      </c>
      <c r="EA19">
        <v>512</v>
      </c>
      <c r="EB19" t="s">
        <v>149</v>
      </c>
      <c r="EC19" t="s">
        <v>69</v>
      </c>
      <c r="ED19" t="s">
        <v>150</v>
      </c>
      <c r="EE19" t="s">
        <v>69</v>
      </c>
      <c r="EF19">
        <v>119.119</v>
      </c>
      <c r="EG19" t="s">
        <v>69</v>
      </c>
      <c r="EH19" t="s">
        <v>69</v>
      </c>
      <c r="EI19">
        <v>516</v>
      </c>
      <c r="EJ19" t="s">
        <v>157</v>
      </c>
      <c r="EK19" t="s">
        <v>69</v>
      </c>
      <c r="EL19" t="s">
        <v>75</v>
      </c>
      <c r="EM19" t="s">
        <v>69</v>
      </c>
      <c r="EN19">
        <v>155.15600000000001</v>
      </c>
      <c r="EO19" t="s">
        <v>69</v>
      </c>
      <c r="EP19" t="s">
        <v>69</v>
      </c>
      <c r="EQ19">
        <v>519</v>
      </c>
      <c r="ER19" t="s">
        <v>72</v>
      </c>
      <c r="ES19" t="s">
        <v>69</v>
      </c>
      <c r="ET19" t="s">
        <v>71</v>
      </c>
      <c r="EU19" t="s">
        <v>69</v>
      </c>
      <c r="EV19">
        <v>131.17500000000001</v>
      </c>
      <c r="EW19" t="s">
        <v>69</v>
      </c>
      <c r="EX19" t="s">
        <v>69</v>
      </c>
      <c r="EY19">
        <v>522</v>
      </c>
      <c r="EZ19" t="s">
        <v>72</v>
      </c>
      <c r="FA19" t="s">
        <v>69</v>
      </c>
      <c r="FB19" t="s">
        <v>71</v>
      </c>
      <c r="FC19" t="s">
        <v>69</v>
      </c>
      <c r="FD19">
        <v>131.17500000000001</v>
      </c>
      <c r="FE19" t="s">
        <v>69</v>
      </c>
      <c r="FF19" t="s">
        <v>69</v>
      </c>
      <c r="FG19">
        <v>523</v>
      </c>
      <c r="FH19" t="s">
        <v>147</v>
      </c>
      <c r="FI19" t="s">
        <v>69</v>
      </c>
      <c r="FJ19" t="s">
        <v>148</v>
      </c>
      <c r="FK19" t="s">
        <v>69</v>
      </c>
      <c r="FL19">
        <v>146.14599999999999</v>
      </c>
      <c r="FM19" t="s">
        <v>69</v>
      </c>
      <c r="FN19" t="s">
        <v>69</v>
      </c>
      <c r="FO19">
        <v>547</v>
      </c>
      <c r="FP19" t="s">
        <v>151</v>
      </c>
      <c r="FQ19" t="s">
        <v>69</v>
      </c>
      <c r="FR19" t="s">
        <v>152</v>
      </c>
      <c r="FS19" t="s">
        <v>69</v>
      </c>
      <c r="FT19">
        <v>165.19200000000001</v>
      </c>
      <c r="FU19" t="s">
        <v>69</v>
      </c>
      <c r="FV19" t="s">
        <v>69</v>
      </c>
      <c r="FW19">
        <v>550</v>
      </c>
      <c r="FX19" t="s">
        <v>119</v>
      </c>
      <c r="FY19" t="s">
        <v>69</v>
      </c>
      <c r="FZ19" t="s">
        <v>120</v>
      </c>
      <c r="GA19" t="s">
        <v>69</v>
      </c>
      <c r="GB19">
        <v>147.131</v>
      </c>
      <c r="GC19" t="s">
        <v>69</v>
      </c>
      <c r="GD19" t="s">
        <v>69</v>
      </c>
      <c r="GE19">
        <v>551</v>
      </c>
      <c r="GF19" t="s">
        <v>149</v>
      </c>
      <c r="GG19" t="s">
        <v>69</v>
      </c>
      <c r="GH19" t="s">
        <v>150</v>
      </c>
      <c r="GI19" t="s">
        <v>69</v>
      </c>
      <c r="GJ19">
        <v>119.119</v>
      </c>
      <c r="GK19" t="s">
        <v>69</v>
      </c>
      <c r="GL19" t="s">
        <v>69</v>
      </c>
      <c r="GM19">
        <v>554</v>
      </c>
      <c r="GN19" t="s">
        <v>149</v>
      </c>
      <c r="GO19" t="s">
        <v>69</v>
      </c>
      <c r="GP19" t="s">
        <v>150</v>
      </c>
      <c r="GQ19" t="s">
        <v>69</v>
      </c>
      <c r="GR19">
        <v>119.119</v>
      </c>
      <c r="GS19" t="s">
        <v>69</v>
      </c>
      <c r="GT19" t="s">
        <v>69</v>
      </c>
      <c r="GU19">
        <v>558</v>
      </c>
      <c r="GV19" t="s">
        <v>147</v>
      </c>
      <c r="GW19" t="s">
        <v>69</v>
      </c>
      <c r="GX19" t="s">
        <v>148</v>
      </c>
      <c r="GY19" t="s">
        <v>69</v>
      </c>
      <c r="GZ19">
        <v>146.14599999999999</v>
      </c>
      <c r="HA19" t="s">
        <v>69</v>
      </c>
      <c r="HB19" t="s">
        <v>69</v>
      </c>
      <c r="HC19">
        <v>560</v>
      </c>
      <c r="HD19" t="s">
        <v>70</v>
      </c>
      <c r="HE19" t="s">
        <v>69</v>
      </c>
      <c r="HF19" t="s">
        <v>71</v>
      </c>
      <c r="HG19" t="s">
        <v>69</v>
      </c>
      <c r="HH19">
        <v>75.066999999999993</v>
      </c>
      <c r="HI19" t="s">
        <v>69</v>
      </c>
      <c r="HJ19" t="s">
        <v>69</v>
      </c>
      <c r="HK19">
        <v>562</v>
      </c>
      <c r="HL19" t="s">
        <v>116</v>
      </c>
      <c r="HM19" t="s">
        <v>69</v>
      </c>
      <c r="HN19" t="s">
        <v>117</v>
      </c>
      <c r="HO19" t="s">
        <v>69</v>
      </c>
      <c r="HP19">
        <v>149.208</v>
      </c>
      <c r="HQ19" t="s">
        <v>69</v>
      </c>
      <c r="HR19" t="s">
        <v>69</v>
      </c>
      <c r="HS19">
        <v>580</v>
      </c>
      <c r="HT19" t="s">
        <v>116</v>
      </c>
      <c r="HU19" t="s">
        <v>69</v>
      </c>
      <c r="HV19" t="s">
        <v>117</v>
      </c>
      <c r="HW19" t="s">
        <v>69</v>
      </c>
      <c r="HX19">
        <v>149.208</v>
      </c>
      <c r="HY19" t="s">
        <v>69</v>
      </c>
      <c r="HZ19" t="s">
        <v>69</v>
      </c>
      <c r="IA19">
        <v>584</v>
      </c>
      <c r="IB19" t="s">
        <v>157</v>
      </c>
      <c r="IC19" t="s">
        <v>69</v>
      </c>
      <c r="ID19" t="s">
        <v>75</v>
      </c>
      <c r="IE19" t="s">
        <v>69</v>
      </c>
      <c r="IF19">
        <v>155.15600000000001</v>
      </c>
      <c r="IG19" t="s">
        <v>69</v>
      </c>
      <c r="IH19" t="s">
        <v>69</v>
      </c>
      <c r="II19">
        <v>588</v>
      </c>
      <c r="IJ19" t="s">
        <v>72</v>
      </c>
      <c r="IK19" t="s">
        <v>69</v>
      </c>
      <c r="IL19" t="s">
        <v>71</v>
      </c>
      <c r="IM19" t="s">
        <v>69</v>
      </c>
      <c r="IN19">
        <v>131.17500000000001</v>
      </c>
      <c r="IO19" t="s">
        <v>69</v>
      </c>
      <c r="IP19" t="s">
        <v>69</v>
      </c>
      <c r="IQ19">
        <v>591</v>
      </c>
      <c r="IR19" t="s">
        <v>73</v>
      </c>
      <c r="IS19" t="s">
        <v>69</v>
      </c>
      <c r="IT19" t="s">
        <v>71</v>
      </c>
      <c r="IU19" t="s">
        <v>69</v>
      </c>
      <c r="IV19">
        <v>89.093999999999994</v>
      </c>
      <c r="IW19" t="s">
        <v>69</v>
      </c>
      <c r="IX19" t="s">
        <v>69</v>
      </c>
      <c r="IY19">
        <v>592</v>
      </c>
      <c r="IZ19" t="s">
        <v>73</v>
      </c>
      <c r="JA19" t="s">
        <v>69</v>
      </c>
      <c r="JB19" t="s">
        <v>71</v>
      </c>
      <c r="JC19" t="s">
        <v>69</v>
      </c>
      <c r="JD19">
        <v>89.093999999999994</v>
      </c>
      <c r="JE19" t="s">
        <v>69</v>
      </c>
      <c r="JF19" t="s">
        <v>69</v>
      </c>
      <c r="JG19">
        <v>599</v>
      </c>
      <c r="JH19" t="s">
        <v>73</v>
      </c>
      <c r="JI19" t="s">
        <v>69</v>
      </c>
      <c r="JJ19" t="s">
        <v>71</v>
      </c>
      <c r="JK19" t="s">
        <v>69</v>
      </c>
      <c r="JL19">
        <v>89.093999999999994</v>
      </c>
      <c r="JM19" t="s">
        <v>69</v>
      </c>
      <c r="JN19" t="s">
        <v>69</v>
      </c>
    </row>
    <row r="20" spans="1:274" x14ac:dyDescent="0.25">
      <c r="A20">
        <v>7</v>
      </c>
      <c r="B20" t="str">
        <f>HYPERLINK("http://www.ncbi.nlm.nih.gov/protein/CAD7670891.1","CAD7670891.1")</f>
        <v>CAD7670891.1</v>
      </c>
      <c r="C20">
        <v>27271</v>
      </c>
      <c r="D20" t="str">
        <f>HYPERLINK("http://www.ncbi.nlm.nih.gov/Taxonomy/Browser/wwwtax.cgi?mode=Info&amp;id=34880&amp;lvl=3&amp;lin=f&amp;keep=1&amp;srchmode=1&amp;unlock","34880")</f>
        <v>34880</v>
      </c>
      <c r="E20" t="s">
        <v>66</v>
      </c>
      <c r="F20" t="str">
        <f>HYPERLINK("http://www.ncbi.nlm.nih.gov/Taxonomy/Browser/wwwtax.cgi?mode=Info&amp;id=34880&amp;lvl=3&amp;lin=f&amp;keep=1&amp;srchmode=1&amp;unlock","Nyctereutes procyonoides")</f>
        <v>Nyctereutes procyonoides</v>
      </c>
      <c r="G20" t="s">
        <v>92</v>
      </c>
      <c r="H20" t="str">
        <f>HYPERLINK("http://www.ncbi.nlm.nih.gov/protein/CAD7670891.1","unnamed protein product")</f>
        <v>unnamed protein product</v>
      </c>
      <c r="I20" t="s">
        <v>270</v>
      </c>
      <c r="J20" t="s">
        <v>69</v>
      </c>
      <c r="K20">
        <v>216</v>
      </c>
      <c r="L20" t="s">
        <v>145</v>
      </c>
      <c r="M20" t="s">
        <v>69</v>
      </c>
      <c r="N20" t="s">
        <v>71</v>
      </c>
      <c r="O20" t="s">
        <v>69</v>
      </c>
      <c r="P20">
        <v>131.17500000000001</v>
      </c>
      <c r="Q20" t="s">
        <v>69</v>
      </c>
      <c r="R20" t="s">
        <v>69</v>
      </c>
      <c r="S20">
        <v>257</v>
      </c>
      <c r="T20" t="s">
        <v>151</v>
      </c>
      <c r="U20" t="s">
        <v>69</v>
      </c>
      <c r="V20" t="s">
        <v>152</v>
      </c>
      <c r="W20" t="s">
        <v>69</v>
      </c>
      <c r="X20">
        <v>165.19200000000001</v>
      </c>
      <c r="Y20" t="s">
        <v>69</v>
      </c>
      <c r="Z20" t="s">
        <v>69</v>
      </c>
      <c r="AA20">
        <v>260</v>
      </c>
      <c r="AB20" t="s">
        <v>155</v>
      </c>
      <c r="AC20" t="s">
        <v>69</v>
      </c>
      <c r="AD20" t="s">
        <v>150</v>
      </c>
      <c r="AE20" t="s">
        <v>69</v>
      </c>
      <c r="AF20">
        <v>105.093</v>
      </c>
      <c r="AG20" t="s">
        <v>69</v>
      </c>
      <c r="AH20" t="s">
        <v>69</v>
      </c>
      <c r="AI20">
        <v>261</v>
      </c>
      <c r="AJ20" t="s">
        <v>69</v>
      </c>
      <c r="AK20" t="s">
        <v>69</v>
      </c>
      <c r="AL20" t="s">
        <v>152</v>
      </c>
      <c r="AM20" t="s">
        <v>69</v>
      </c>
      <c r="AN20">
        <v>181.191</v>
      </c>
      <c r="AO20" t="s">
        <v>69</v>
      </c>
      <c r="AP20" t="s">
        <v>69</v>
      </c>
      <c r="AQ20">
        <v>341</v>
      </c>
      <c r="AR20" t="s">
        <v>72</v>
      </c>
      <c r="AS20" t="s">
        <v>69</v>
      </c>
      <c r="AT20" t="s">
        <v>71</v>
      </c>
      <c r="AU20" t="s">
        <v>69</v>
      </c>
      <c r="AV20">
        <v>131.17500000000001</v>
      </c>
      <c r="AW20" t="s">
        <v>69</v>
      </c>
      <c r="AX20" t="s">
        <v>69</v>
      </c>
      <c r="AY20">
        <v>342</v>
      </c>
      <c r="AZ20" t="s">
        <v>72</v>
      </c>
      <c r="BA20" t="s">
        <v>69</v>
      </c>
      <c r="BB20" t="s">
        <v>71</v>
      </c>
      <c r="BC20" t="s">
        <v>69</v>
      </c>
      <c r="BD20">
        <v>131.17500000000001</v>
      </c>
      <c r="BE20" t="s">
        <v>69</v>
      </c>
      <c r="BF20" t="s">
        <v>69</v>
      </c>
      <c r="BG20">
        <v>376</v>
      </c>
      <c r="BH20" t="s">
        <v>155</v>
      </c>
      <c r="BI20" t="s">
        <v>69</v>
      </c>
      <c r="BJ20" t="s">
        <v>150</v>
      </c>
      <c r="BK20" t="s">
        <v>69</v>
      </c>
      <c r="BL20">
        <v>105.093</v>
      </c>
      <c r="BM20" t="s">
        <v>69</v>
      </c>
      <c r="BN20" t="s">
        <v>69</v>
      </c>
      <c r="BO20">
        <v>379</v>
      </c>
      <c r="BP20" t="s">
        <v>116</v>
      </c>
      <c r="BQ20" t="s">
        <v>69</v>
      </c>
      <c r="BR20" t="s">
        <v>117</v>
      </c>
      <c r="BS20" t="s">
        <v>69</v>
      </c>
      <c r="BT20">
        <v>149.208</v>
      </c>
      <c r="BU20" t="s">
        <v>69</v>
      </c>
      <c r="BV20" t="s">
        <v>69</v>
      </c>
      <c r="BW20">
        <v>410</v>
      </c>
      <c r="BX20" t="s">
        <v>147</v>
      </c>
      <c r="BY20" t="s">
        <v>69</v>
      </c>
      <c r="BZ20" t="s">
        <v>148</v>
      </c>
      <c r="CA20" t="s">
        <v>69</v>
      </c>
      <c r="CB20">
        <v>146.14599999999999</v>
      </c>
      <c r="CC20" t="s">
        <v>69</v>
      </c>
      <c r="CD20" t="s">
        <v>69</v>
      </c>
      <c r="CE20">
        <v>411</v>
      </c>
      <c r="CF20" t="s">
        <v>72</v>
      </c>
      <c r="CG20" t="s">
        <v>69</v>
      </c>
      <c r="CH20" t="s">
        <v>71</v>
      </c>
      <c r="CI20" t="s">
        <v>69</v>
      </c>
      <c r="CJ20">
        <v>131.17500000000001</v>
      </c>
      <c r="CK20" t="s">
        <v>69</v>
      </c>
      <c r="CL20" t="s">
        <v>69</v>
      </c>
      <c r="CM20">
        <v>413</v>
      </c>
      <c r="CN20" t="s">
        <v>145</v>
      </c>
      <c r="CO20" t="s">
        <v>69</v>
      </c>
      <c r="CP20" t="s">
        <v>71</v>
      </c>
      <c r="CQ20" t="s">
        <v>69</v>
      </c>
      <c r="CR20">
        <v>131.17500000000001</v>
      </c>
      <c r="CS20" t="s">
        <v>69</v>
      </c>
      <c r="CT20" t="s">
        <v>69</v>
      </c>
      <c r="CU20">
        <v>415</v>
      </c>
      <c r="CV20" t="s">
        <v>72</v>
      </c>
      <c r="CW20" t="s">
        <v>69</v>
      </c>
      <c r="CX20" t="s">
        <v>71</v>
      </c>
      <c r="CY20" t="s">
        <v>69</v>
      </c>
      <c r="CZ20">
        <v>131.17500000000001</v>
      </c>
      <c r="DA20" t="s">
        <v>69</v>
      </c>
      <c r="DB20" t="s">
        <v>69</v>
      </c>
      <c r="DC20">
        <v>444</v>
      </c>
      <c r="DD20" t="s">
        <v>151</v>
      </c>
      <c r="DE20" t="s">
        <v>69</v>
      </c>
      <c r="DF20" t="s">
        <v>152</v>
      </c>
      <c r="DG20" t="s">
        <v>69</v>
      </c>
      <c r="DH20">
        <v>165.19200000000001</v>
      </c>
      <c r="DI20" t="s">
        <v>69</v>
      </c>
      <c r="DJ20" t="s">
        <v>69</v>
      </c>
      <c r="DK20">
        <v>481</v>
      </c>
      <c r="DL20" t="s">
        <v>73</v>
      </c>
      <c r="DM20" t="s">
        <v>69</v>
      </c>
      <c r="DN20" t="s">
        <v>71</v>
      </c>
      <c r="DO20" t="s">
        <v>69</v>
      </c>
      <c r="DP20">
        <v>89.093999999999994</v>
      </c>
      <c r="DQ20" t="s">
        <v>69</v>
      </c>
      <c r="DR20" t="s">
        <v>69</v>
      </c>
      <c r="DS20">
        <v>482</v>
      </c>
      <c r="DT20" t="s">
        <v>72</v>
      </c>
      <c r="DU20" t="s">
        <v>69</v>
      </c>
      <c r="DV20" t="s">
        <v>71</v>
      </c>
      <c r="DW20" t="s">
        <v>69</v>
      </c>
      <c r="DX20">
        <v>131.17500000000001</v>
      </c>
      <c r="DY20" t="s">
        <v>69</v>
      </c>
      <c r="DZ20" t="s">
        <v>69</v>
      </c>
      <c r="EA20">
        <v>512</v>
      </c>
      <c r="EB20" t="s">
        <v>149</v>
      </c>
      <c r="EC20" t="s">
        <v>69</v>
      </c>
      <c r="ED20" t="s">
        <v>150</v>
      </c>
      <c r="EE20" t="s">
        <v>69</v>
      </c>
      <c r="EF20">
        <v>119.119</v>
      </c>
      <c r="EG20" t="s">
        <v>69</v>
      </c>
      <c r="EH20" t="s">
        <v>69</v>
      </c>
      <c r="EI20">
        <v>516</v>
      </c>
      <c r="EJ20" t="s">
        <v>157</v>
      </c>
      <c r="EK20" t="s">
        <v>69</v>
      </c>
      <c r="EL20" t="s">
        <v>75</v>
      </c>
      <c r="EM20" t="s">
        <v>69</v>
      </c>
      <c r="EN20">
        <v>155.15600000000001</v>
      </c>
      <c r="EO20" t="s">
        <v>69</v>
      </c>
      <c r="EP20" t="s">
        <v>69</v>
      </c>
      <c r="EQ20">
        <v>519</v>
      </c>
      <c r="ER20" t="s">
        <v>72</v>
      </c>
      <c r="ES20" t="s">
        <v>69</v>
      </c>
      <c r="ET20" t="s">
        <v>71</v>
      </c>
      <c r="EU20" t="s">
        <v>69</v>
      </c>
      <c r="EV20">
        <v>131.17500000000001</v>
      </c>
      <c r="EW20" t="s">
        <v>69</v>
      </c>
      <c r="EX20" t="s">
        <v>69</v>
      </c>
      <c r="EY20">
        <v>522</v>
      </c>
      <c r="EZ20" t="s">
        <v>72</v>
      </c>
      <c r="FA20" t="s">
        <v>69</v>
      </c>
      <c r="FB20" t="s">
        <v>71</v>
      </c>
      <c r="FC20" t="s">
        <v>69</v>
      </c>
      <c r="FD20">
        <v>131.17500000000001</v>
      </c>
      <c r="FE20" t="s">
        <v>69</v>
      </c>
      <c r="FF20" t="s">
        <v>69</v>
      </c>
      <c r="FG20">
        <v>523</v>
      </c>
      <c r="FH20" t="s">
        <v>147</v>
      </c>
      <c r="FI20" t="s">
        <v>69</v>
      </c>
      <c r="FJ20" t="s">
        <v>148</v>
      </c>
      <c r="FK20" t="s">
        <v>69</v>
      </c>
      <c r="FL20">
        <v>146.14599999999999</v>
      </c>
      <c r="FM20" t="s">
        <v>69</v>
      </c>
      <c r="FN20" t="s">
        <v>69</v>
      </c>
      <c r="FO20">
        <v>547</v>
      </c>
      <c r="FP20" t="s">
        <v>151</v>
      </c>
      <c r="FQ20" t="s">
        <v>69</v>
      </c>
      <c r="FR20" t="s">
        <v>152</v>
      </c>
      <c r="FS20" t="s">
        <v>69</v>
      </c>
      <c r="FT20">
        <v>165.19200000000001</v>
      </c>
      <c r="FU20" t="s">
        <v>69</v>
      </c>
      <c r="FV20" t="s">
        <v>69</v>
      </c>
      <c r="FW20">
        <v>550</v>
      </c>
      <c r="FX20" t="s">
        <v>119</v>
      </c>
      <c r="FY20" t="s">
        <v>69</v>
      </c>
      <c r="FZ20" t="s">
        <v>120</v>
      </c>
      <c r="GA20" t="s">
        <v>69</v>
      </c>
      <c r="GB20">
        <v>147.131</v>
      </c>
      <c r="GC20" t="s">
        <v>69</v>
      </c>
      <c r="GD20" t="s">
        <v>69</v>
      </c>
      <c r="GE20">
        <v>551</v>
      </c>
      <c r="GF20" t="s">
        <v>149</v>
      </c>
      <c r="GG20" t="s">
        <v>69</v>
      </c>
      <c r="GH20" t="s">
        <v>150</v>
      </c>
      <c r="GI20" t="s">
        <v>69</v>
      </c>
      <c r="GJ20">
        <v>119.119</v>
      </c>
      <c r="GK20" t="s">
        <v>69</v>
      </c>
      <c r="GL20" t="s">
        <v>69</v>
      </c>
      <c r="GM20">
        <v>554</v>
      </c>
      <c r="GN20" t="s">
        <v>149</v>
      </c>
      <c r="GO20" t="s">
        <v>69</v>
      </c>
      <c r="GP20" t="s">
        <v>150</v>
      </c>
      <c r="GQ20" t="s">
        <v>69</v>
      </c>
      <c r="GR20">
        <v>119.119</v>
      </c>
      <c r="GS20" t="s">
        <v>69</v>
      </c>
      <c r="GT20" t="s">
        <v>69</v>
      </c>
      <c r="GU20">
        <v>558</v>
      </c>
      <c r="GV20" t="s">
        <v>147</v>
      </c>
      <c r="GW20" t="s">
        <v>69</v>
      </c>
      <c r="GX20" t="s">
        <v>148</v>
      </c>
      <c r="GY20" t="s">
        <v>69</v>
      </c>
      <c r="GZ20">
        <v>146.14599999999999</v>
      </c>
      <c r="HA20" t="s">
        <v>69</v>
      </c>
      <c r="HB20" t="s">
        <v>69</v>
      </c>
      <c r="HC20">
        <v>560</v>
      </c>
      <c r="HD20" t="s">
        <v>70</v>
      </c>
      <c r="HE20" t="s">
        <v>69</v>
      </c>
      <c r="HF20" t="s">
        <v>71</v>
      </c>
      <c r="HG20" t="s">
        <v>69</v>
      </c>
      <c r="HH20">
        <v>75.066999999999993</v>
      </c>
      <c r="HI20" t="s">
        <v>69</v>
      </c>
      <c r="HJ20" t="s">
        <v>69</v>
      </c>
      <c r="HK20">
        <v>562</v>
      </c>
      <c r="HL20" t="s">
        <v>116</v>
      </c>
      <c r="HM20" t="s">
        <v>69</v>
      </c>
      <c r="HN20" t="s">
        <v>117</v>
      </c>
      <c r="HO20" t="s">
        <v>69</v>
      </c>
      <c r="HP20">
        <v>149.208</v>
      </c>
      <c r="HQ20" t="s">
        <v>69</v>
      </c>
      <c r="HR20" t="s">
        <v>69</v>
      </c>
      <c r="HS20">
        <v>580</v>
      </c>
      <c r="HT20" t="s">
        <v>116</v>
      </c>
      <c r="HU20" t="s">
        <v>69</v>
      </c>
      <c r="HV20" t="s">
        <v>117</v>
      </c>
      <c r="HW20" t="s">
        <v>69</v>
      </c>
      <c r="HX20">
        <v>149.208</v>
      </c>
      <c r="HY20" t="s">
        <v>69</v>
      </c>
      <c r="HZ20" t="s">
        <v>69</v>
      </c>
      <c r="IA20">
        <v>584</v>
      </c>
      <c r="IB20" t="s">
        <v>157</v>
      </c>
      <c r="IC20" t="s">
        <v>69</v>
      </c>
      <c r="ID20" t="s">
        <v>75</v>
      </c>
      <c r="IE20" t="s">
        <v>69</v>
      </c>
      <c r="IF20">
        <v>155.15600000000001</v>
      </c>
      <c r="IG20" t="s">
        <v>69</v>
      </c>
      <c r="IH20" t="s">
        <v>69</v>
      </c>
      <c r="II20">
        <v>588</v>
      </c>
      <c r="IJ20" t="s">
        <v>72</v>
      </c>
      <c r="IK20" t="s">
        <v>69</v>
      </c>
      <c r="IL20" t="s">
        <v>71</v>
      </c>
      <c r="IM20" t="s">
        <v>69</v>
      </c>
      <c r="IN20">
        <v>131.17500000000001</v>
      </c>
      <c r="IO20" t="s">
        <v>69</v>
      </c>
      <c r="IP20" t="s">
        <v>69</v>
      </c>
      <c r="IQ20">
        <v>591</v>
      </c>
      <c r="IR20" t="s">
        <v>73</v>
      </c>
      <c r="IS20" t="s">
        <v>69</v>
      </c>
      <c r="IT20" t="s">
        <v>71</v>
      </c>
      <c r="IU20" t="s">
        <v>69</v>
      </c>
      <c r="IV20">
        <v>89.093999999999994</v>
      </c>
      <c r="IW20" t="s">
        <v>69</v>
      </c>
      <c r="IX20" t="s">
        <v>69</v>
      </c>
      <c r="IY20">
        <v>592</v>
      </c>
      <c r="IZ20" t="s">
        <v>73</v>
      </c>
      <c r="JA20" t="s">
        <v>69</v>
      </c>
      <c r="JB20" t="s">
        <v>71</v>
      </c>
      <c r="JC20" t="s">
        <v>69</v>
      </c>
      <c r="JD20">
        <v>89.093999999999994</v>
      </c>
      <c r="JE20" t="s">
        <v>69</v>
      </c>
      <c r="JF20" t="s">
        <v>69</v>
      </c>
      <c r="JG20">
        <v>599</v>
      </c>
      <c r="JH20" t="s">
        <v>73</v>
      </c>
      <c r="JI20" t="s">
        <v>69</v>
      </c>
      <c r="JJ20" t="s">
        <v>71</v>
      </c>
      <c r="JK20" t="s">
        <v>69</v>
      </c>
      <c r="JL20">
        <v>89.093999999999994</v>
      </c>
      <c r="JM20" t="s">
        <v>69</v>
      </c>
      <c r="JN20" t="s">
        <v>69</v>
      </c>
    </row>
    <row r="21" spans="1:274" x14ac:dyDescent="0.25">
      <c r="A21">
        <v>7</v>
      </c>
      <c r="B21" t="str">
        <f>HYPERLINK("http://www.ncbi.nlm.nih.gov/protein/XP_038300670.1","XP_038300670.1")</f>
        <v>XP_038300670.1</v>
      </c>
      <c r="C21">
        <v>136357</v>
      </c>
      <c r="D21" t="str">
        <f>HYPERLINK("http://www.ncbi.nlm.nih.gov/Taxonomy/Browser/wwwtax.cgi?mode=Info&amp;id=9615&amp;lvl=3&amp;lin=f&amp;keep=1&amp;srchmode=1&amp;unlock","9615")</f>
        <v>9615</v>
      </c>
      <c r="E21" t="s">
        <v>66</v>
      </c>
      <c r="F21" t="str">
        <f>HYPERLINK("http://www.ncbi.nlm.nih.gov/Taxonomy/Browser/wwwtax.cgi?mode=Info&amp;id=9615&amp;lvl=3&amp;lin=f&amp;keep=1&amp;srchmode=1&amp;unlock","Canis lupus familiaris")</f>
        <v>Canis lupus familiaris</v>
      </c>
      <c r="G21" t="s">
        <v>84</v>
      </c>
      <c r="H21" t="str">
        <f>HYPERLINK("http://www.ncbi.nlm.nih.gov/protein/XP_038300670.1","mitochondrial import receptor subunit TOM70 isoform X1")</f>
        <v>mitochondrial import receptor subunit TOM70 isoform X1</v>
      </c>
      <c r="I21" t="s">
        <v>270</v>
      </c>
      <c r="J21" t="s">
        <v>69</v>
      </c>
      <c r="K21">
        <v>216</v>
      </c>
      <c r="L21" t="s">
        <v>145</v>
      </c>
      <c r="M21" t="s">
        <v>69</v>
      </c>
      <c r="N21" t="s">
        <v>71</v>
      </c>
      <c r="O21" t="s">
        <v>69</v>
      </c>
      <c r="P21">
        <v>131.17500000000001</v>
      </c>
      <c r="Q21" t="s">
        <v>69</v>
      </c>
      <c r="R21" t="s">
        <v>69</v>
      </c>
      <c r="S21">
        <v>257</v>
      </c>
      <c r="T21" t="s">
        <v>151</v>
      </c>
      <c r="U21" t="s">
        <v>69</v>
      </c>
      <c r="V21" t="s">
        <v>152</v>
      </c>
      <c r="W21" t="s">
        <v>69</v>
      </c>
      <c r="X21">
        <v>165.19200000000001</v>
      </c>
      <c r="Y21" t="s">
        <v>69</v>
      </c>
      <c r="Z21" t="s">
        <v>69</v>
      </c>
      <c r="AA21">
        <v>260</v>
      </c>
      <c r="AB21" t="s">
        <v>155</v>
      </c>
      <c r="AC21" t="s">
        <v>69</v>
      </c>
      <c r="AD21" t="s">
        <v>150</v>
      </c>
      <c r="AE21" t="s">
        <v>69</v>
      </c>
      <c r="AF21">
        <v>105.093</v>
      </c>
      <c r="AG21" t="s">
        <v>69</v>
      </c>
      <c r="AH21" t="s">
        <v>69</v>
      </c>
      <c r="AI21">
        <v>261</v>
      </c>
      <c r="AJ21" t="s">
        <v>69</v>
      </c>
      <c r="AK21" t="s">
        <v>69</v>
      </c>
      <c r="AL21" t="s">
        <v>152</v>
      </c>
      <c r="AM21" t="s">
        <v>69</v>
      </c>
      <c r="AN21">
        <v>181.191</v>
      </c>
      <c r="AO21" t="s">
        <v>69</v>
      </c>
      <c r="AP21" t="s">
        <v>69</v>
      </c>
      <c r="AQ21">
        <v>341</v>
      </c>
      <c r="AR21" t="s">
        <v>72</v>
      </c>
      <c r="AS21" t="s">
        <v>69</v>
      </c>
      <c r="AT21" t="s">
        <v>71</v>
      </c>
      <c r="AU21" t="s">
        <v>69</v>
      </c>
      <c r="AV21">
        <v>131.17500000000001</v>
      </c>
      <c r="AW21" t="s">
        <v>69</v>
      </c>
      <c r="AX21" t="s">
        <v>69</v>
      </c>
      <c r="AY21">
        <v>342</v>
      </c>
      <c r="AZ21" t="s">
        <v>72</v>
      </c>
      <c r="BA21" t="s">
        <v>69</v>
      </c>
      <c r="BB21" t="s">
        <v>71</v>
      </c>
      <c r="BC21" t="s">
        <v>69</v>
      </c>
      <c r="BD21">
        <v>131.17500000000001</v>
      </c>
      <c r="BE21" t="s">
        <v>69</v>
      </c>
      <c r="BF21" t="s">
        <v>69</v>
      </c>
      <c r="BG21">
        <v>376</v>
      </c>
      <c r="BH21" t="s">
        <v>155</v>
      </c>
      <c r="BI21" t="s">
        <v>69</v>
      </c>
      <c r="BJ21" t="s">
        <v>150</v>
      </c>
      <c r="BK21" t="s">
        <v>69</v>
      </c>
      <c r="BL21">
        <v>105.093</v>
      </c>
      <c r="BM21" t="s">
        <v>69</v>
      </c>
      <c r="BN21" t="s">
        <v>69</v>
      </c>
      <c r="BO21">
        <v>379</v>
      </c>
      <c r="BP21" t="s">
        <v>116</v>
      </c>
      <c r="BQ21" t="s">
        <v>69</v>
      </c>
      <c r="BR21" t="s">
        <v>117</v>
      </c>
      <c r="BS21" t="s">
        <v>69</v>
      </c>
      <c r="BT21">
        <v>149.208</v>
      </c>
      <c r="BU21" t="s">
        <v>69</v>
      </c>
      <c r="BV21" t="s">
        <v>69</v>
      </c>
      <c r="BW21">
        <v>410</v>
      </c>
      <c r="BX21" t="s">
        <v>147</v>
      </c>
      <c r="BY21" t="s">
        <v>69</v>
      </c>
      <c r="BZ21" t="s">
        <v>148</v>
      </c>
      <c r="CA21" t="s">
        <v>69</v>
      </c>
      <c r="CB21">
        <v>146.14599999999999</v>
      </c>
      <c r="CC21" t="s">
        <v>69</v>
      </c>
      <c r="CD21" t="s">
        <v>69</v>
      </c>
      <c r="CE21">
        <v>411</v>
      </c>
      <c r="CF21" t="s">
        <v>72</v>
      </c>
      <c r="CG21" t="s">
        <v>69</v>
      </c>
      <c r="CH21" t="s">
        <v>71</v>
      </c>
      <c r="CI21" t="s">
        <v>69</v>
      </c>
      <c r="CJ21">
        <v>131.17500000000001</v>
      </c>
      <c r="CK21" t="s">
        <v>69</v>
      </c>
      <c r="CL21" t="s">
        <v>69</v>
      </c>
      <c r="CM21">
        <v>413</v>
      </c>
      <c r="CN21" t="s">
        <v>145</v>
      </c>
      <c r="CO21" t="s">
        <v>69</v>
      </c>
      <c r="CP21" t="s">
        <v>71</v>
      </c>
      <c r="CQ21" t="s">
        <v>69</v>
      </c>
      <c r="CR21">
        <v>131.17500000000001</v>
      </c>
      <c r="CS21" t="s">
        <v>69</v>
      </c>
      <c r="CT21" t="s">
        <v>69</v>
      </c>
      <c r="CU21">
        <v>415</v>
      </c>
      <c r="CV21" t="s">
        <v>72</v>
      </c>
      <c r="CW21" t="s">
        <v>69</v>
      </c>
      <c r="CX21" t="s">
        <v>71</v>
      </c>
      <c r="CY21" t="s">
        <v>69</v>
      </c>
      <c r="CZ21">
        <v>131.17500000000001</v>
      </c>
      <c r="DA21" t="s">
        <v>69</v>
      </c>
      <c r="DB21" t="s">
        <v>69</v>
      </c>
      <c r="DC21">
        <v>444</v>
      </c>
      <c r="DD21" t="s">
        <v>151</v>
      </c>
      <c r="DE21" t="s">
        <v>69</v>
      </c>
      <c r="DF21" t="s">
        <v>152</v>
      </c>
      <c r="DG21" t="s">
        <v>69</v>
      </c>
      <c r="DH21">
        <v>165.19200000000001</v>
      </c>
      <c r="DI21" t="s">
        <v>69</v>
      </c>
      <c r="DJ21" t="s">
        <v>69</v>
      </c>
      <c r="DK21">
        <v>481</v>
      </c>
      <c r="DL21" t="s">
        <v>73</v>
      </c>
      <c r="DM21" t="s">
        <v>69</v>
      </c>
      <c r="DN21" t="s">
        <v>71</v>
      </c>
      <c r="DO21" t="s">
        <v>69</v>
      </c>
      <c r="DP21">
        <v>89.093999999999994</v>
      </c>
      <c r="DQ21" t="s">
        <v>69</v>
      </c>
      <c r="DR21" t="s">
        <v>69</v>
      </c>
      <c r="DS21">
        <v>482</v>
      </c>
      <c r="DT21" t="s">
        <v>72</v>
      </c>
      <c r="DU21" t="s">
        <v>69</v>
      </c>
      <c r="DV21" t="s">
        <v>71</v>
      </c>
      <c r="DW21" t="s">
        <v>69</v>
      </c>
      <c r="DX21">
        <v>131.17500000000001</v>
      </c>
      <c r="DY21" t="s">
        <v>69</v>
      </c>
      <c r="DZ21" t="s">
        <v>69</v>
      </c>
      <c r="EA21">
        <v>512</v>
      </c>
      <c r="EB21" t="s">
        <v>149</v>
      </c>
      <c r="EC21" t="s">
        <v>69</v>
      </c>
      <c r="ED21" t="s">
        <v>150</v>
      </c>
      <c r="EE21" t="s">
        <v>69</v>
      </c>
      <c r="EF21">
        <v>119.119</v>
      </c>
      <c r="EG21" t="s">
        <v>69</v>
      </c>
      <c r="EH21" t="s">
        <v>69</v>
      </c>
      <c r="EI21">
        <v>516</v>
      </c>
      <c r="EJ21" t="s">
        <v>157</v>
      </c>
      <c r="EK21" t="s">
        <v>69</v>
      </c>
      <c r="EL21" t="s">
        <v>75</v>
      </c>
      <c r="EM21" t="s">
        <v>69</v>
      </c>
      <c r="EN21">
        <v>155.15600000000001</v>
      </c>
      <c r="EO21" t="s">
        <v>69</v>
      </c>
      <c r="EP21" t="s">
        <v>69</v>
      </c>
      <c r="EQ21">
        <v>519</v>
      </c>
      <c r="ER21" t="s">
        <v>72</v>
      </c>
      <c r="ES21" t="s">
        <v>69</v>
      </c>
      <c r="ET21" t="s">
        <v>71</v>
      </c>
      <c r="EU21" t="s">
        <v>69</v>
      </c>
      <c r="EV21">
        <v>131.17500000000001</v>
      </c>
      <c r="EW21" t="s">
        <v>69</v>
      </c>
      <c r="EX21" t="s">
        <v>69</v>
      </c>
      <c r="EY21">
        <v>522</v>
      </c>
      <c r="EZ21" t="s">
        <v>72</v>
      </c>
      <c r="FA21" t="s">
        <v>69</v>
      </c>
      <c r="FB21" t="s">
        <v>71</v>
      </c>
      <c r="FC21" t="s">
        <v>69</v>
      </c>
      <c r="FD21">
        <v>131.17500000000001</v>
      </c>
      <c r="FE21" t="s">
        <v>69</v>
      </c>
      <c r="FF21" t="s">
        <v>69</v>
      </c>
      <c r="FG21">
        <v>523</v>
      </c>
      <c r="FH21" t="s">
        <v>147</v>
      </c>
      <c r="FI21" t="s">
        <v>69</v>
      </c>
      <c r="FJ21" t="s">
        <v>148</v>
      </c>
      <c r="FK21" t="s">
        <v>69</v>
      </c>
      <c r="FL21">
        <v>146.14599999999999</v>
      </c>
      <c r="FM21" t="s">
        <v>69</v>
      </c>
      <c r="FN21" t="s">
        <v>69</v>
      </c>
      <c r="FO21">
        <v>547</v>
      </c>
      <c r="FP21" t="s">
        <v>151</v>
      </c>
      <c r="FQ21" t="s">
        <v>69</v>
      </c>
      <c r="FR21" t="s">
        <v>152</v>
      </c>
      <c r="FS21" t="s">
        <v>69</v>
      </c>
      <c r="FT21">
        <v>165.19200000000001</v>
      </c>
      <c r="FU21" t="s">
        <v>69</v>
      </c>
      <c r="FV21" t="s">
        <v>69</v>
      </c>
      <c r="FW21">
        <v>550</v>
      </c>
      <c r="FX21" t="s">
        <v>119</v>
      </c>
      <c r="FY21" t="s">
        <v>69</v>
      </c>
      <c r="FZ21" t="s">
        <v>120</v>
      </c>
      <c r="GA21" t="s">
        <v>69</v>
      </c>
      <c r="GB21">
        <v>147.131</v>
      </c>
      <c r="GC21" t="s">
        <v>69</v>
      </c>
      <c r="GD21" t="s">
        <v>69</v>
      </c>
      <c r="GE21">
        <v>551</v>
      </c>
      <c r="GF21" t="s">
        <v>149</v>
      </c>
      <c r="GG21" t="s">
        <v>69</v>
      </c>
      <c r="GH21" t="s">
        <v>150</v>
      </c>
      <c r="GI21" t="s">
        <v>69</v>
      </c>
      <c r="GJ21">
        <v>119.119</v>
      </c>
      <c r="GK21" t="s">
        <v>69</v>
      </c>
      <c r="GL21" t="s">
        <v>69</v>
      </c>
      <c r="GM21">
        <v>554</v>
      </c>
      <c r="GN21" t="s">
        <v>149</v>
      </c>
      <c r="GO21" t="s">
        <v>69</v>
      </c>
      <c r="GP21" t="s">
        <v>150</v>
      </c>
      <c r="GQ21" t="s">
        <v>69</v>
      </c>
      <c r="GR21">
        <v>119.119</v>
      </c>
      <c r="GS21" t="s">
        <v>69</v>
      </c>
      <c r="GT21" t="s">
        <v>69</v>
      </c>
      <c r="GU21">
        <v>558</v>
      </c>
      <c r="GV21" t="s">
        <v>147</v>
      </c>
      <c r="GW21" t="s">
        <v>69</v>
      </c>
      <c r="GX21" t="s">
        <v>148</v>
      </c>
      <c r="GY21" t="s">
        <v>69</v>
      </c>
      <c r="GZ21">
        <v>146.14599999999999</v>
      </c>
      <c r="HA21" t="s">
        <v>69</v>
      </c>
      <c r="HB21" t="s">
        <v>69</v>
      </c>
      <c r="HC21">
        <v>560</v>
      </c>
      <c r="HD21" t="s">
        <v>70</v>
      </c>
      <c r="HE21" t="s">
        <v>69</v>
      </c>
      <c r="HF21" t="s">
        <v>71</v>
      </c>
      <c r="HG21" t="s">
        <v>69</v>
      </c>
      <c r="HH21">
        <v>75.066999999999993</v>
      </c>
      <c r="HI21" t="s">
        <v>69</v>
      </c>
      <c r="HJ21" t="s">
        <v>69</v>
      </c>
      <c r="HK21">
        <v>562</v>
      </c>
      <c r="HL21" t="s">
        <v>116</v>
      </c>
      <c r="HM21" t="s">
        <v>69</v>
      </c>
      <c r="HN21" t="s">
        <v>117</v>
      </c>
      <c r="HO21" t="s">
        <v>69</v>
      </c>
      <c r="HP21">
        <v>149.208</v>
      </c>
      <c r="HQ21" t="s">
        <v>69</v>
      </c>
      <c r="HR21" t="s">
        <v>69</v>
      </c>
      <c r="HS21">
        <v>580</v>
      </c>
      <c r="HT21" t="s">
        <v>116</v>
      </c>
      <c r="HU21" t="s">
        <v>69</v>
      </c>
      <c r="HV21" t="s">
        <v>117</v>
      </c>
      <c r="HW21" t="s">
        <v>69</v>
      </c>
      <c r="HX21">
        <v>149.208</v>
      </c>
      <c r="HY21" t="s">
        <v>69</v>
      </c>
      <c r="HZ21" t="s">
        <v>69</v>
      </c>
      <c r="IA21">
        <v>584</v>
      </c>
      <c r="IB21" t="s">
        <v>157</v>
      </c>
      <c r="IC21" t="s">
        <v>69</v>
      </c>
      <c r="ID21" t="s">
        <v>75</v>
      </c>
      <c r="IE21" t="s">
        <v>69</v>
      </c>
      <c r="IF21">
        <v>155.15600000000001</v>
      </c>
      <c r="IG21" t="s">
        <v>69</v>
      </c>
      <c r="IH21" t="s">
        <v>69</v>
      </c>
      <c r="II21">
        <v>588</v>
      </c>
      <c r="IJ21" t="s">
        <v>72</v>
      </c>
      <c r="IK21" t="s">
        <v>69</v>
      </c>
      <c r="IL21" t="s">
        <v>71</v>
      </c>
      <c r="IM21" t="s">
        <v>69</v>
      </c>
      <c r="IN21">
        <v>131.17500000000001</v>
      </c>
      <c r="IO21" t="s">
        <v>69</v>
      </c>
      <c r="IP21" t="s">
        <v>69</v>
      </c>
      <c r="IQ21">
        <v>591</v>
      </c>
      <c r="IR21" t="s">
        <v>73</v>
      </c>
      <c r="IS21" t="s">
        <v>69</v>
      </c>
      <c r="IT21" t="s">
        <v>71</v>
      </c>
      <c r="IU21" t="s">
        <v>69</v>
      </c>
      <c r="IV21">
        <v>89.093999999999994</v>
      </c>
      <c r="IW21" t="s">
        <v>69</v>
      </c>
      <c r="IX21" t="s">
        <v>69</v>
      </c>
      <c r="IY21">
        <v>592</v>
      </c>
      <c r="IZ21" t="s">
        <v>73</v>
      </c>
      <c r="JA21" t="s">
        <v>69</v>
      </c>
      <c r="JB21" t="s">
        <v>71</v>
      </c>
      <c r="JC21" t="s">
        <v>69</v>
      </c>
      <c r="JD21">
        <v>89.093999999999994</v>
      </c>
      <c r="JE21" t="s">
        <v>69</v>
      </c>
      <c r="JF21" t="s">
        <v>69</v>
      </c>
      <c r="JG21">
        <v>599</v>
      </c>
      <c r="JH21" t="s">
        <v>73</v>
      </c>
      <c r="JI21" t="s">
        <v>69</v>
      </c>
      <c r="JJ21" t="s">
        <v>71</v>
      </c>
      <c r="JK21" t="s">
        <v>69</v>
      </c>
      <c r="JL21">
        <v>89.093999999999994</v>
      </c>
      <c r="JM21" t="s">
        <v>69</v>
      </c>
      <c r="JN21" t="s">
        <v>69</v>
      </c>
    </row>
    <row r="22" spans="1:274" x14ac:dyDescent="0.25">
      <c r="A22">
        <v>7</v>
      </c>
      <c r="B22" t="str">
        <f>HYPERLINK("http://www.ncbi.nlm.nih.gov/protein/XP_025845718.1","XP_025845718.1")</f>
        <v>XP_025845718.1</v>
      </c>
      <c r="C22">
        <v>38435</v>
      </c>
      <c r="D22" t="str">
        <f>HYPERLINK("http://www.ncbi.nlm.nih.gov/Taxonomy/Browser/wwwtax.cgi?mode=Info&amp;id=9627&amp;lvl=3&amp;lin=f&amp;keep=1&amp;srchmode=1&amp;unlock","9627")</f>
        <v>9627</v>
      </c>
      <c r="E22" t="s">
        <v>66</v>
      </c>
      <c r="F22" t="str">
        <f>HYPERLINK("http://www.ncbi.nlm.nih.gov/Taxonomy/Browser/wwwtax.cgi?mode=Info&amp;id=9627&amp;lvl=3&amp;lin=f&amp;keep=1&amp;srchmode=1&amp;unlock","Vulpes vulpes")</f>
        <v>Vulpes vulpes</v>
      </c>
      <c r="G22" t="s">
        <v>95</v>
      </c>
      <c r="H22" t="str">
        <f>HYPERLINK("http://www.ncbi.nlm.nih.gov/protein/XP_025845718.1","mitochondrial import receptor subunit TOM70")</f>
        <v>mitochondrial import receptor subunit TOM70</v>
      </c>
      <c r="I22" t="s">
        <v>270</v>
      </c>
      <c r="J22" t="s">
        <v>69</v>
      </c>
      <c r="K22">
        <v>216</v>
      </c>
      <c r="L22" t="s">
        <v>145</v>
      </c>
      <c r="M22" t="s">
        <v>69</v>
      </c>
      <c r="N22" t="s">
        <v>71</v>
      </c>
      <c r="O22" t="s">
        <v>69</v>
      </c>
      <c r="P22">
        <v>131.17500000000001</v>
      </c>
      <c r="Q22" t="s">
        <v>69</v>
      </c>
      <c r="R22" t="s">
        <v>69</v>
      </c>
      <c r="S22">
        <v>257</v>
      </c>
      <c r="T22" t="s">
        <v>151</v>
      </c>
      <c r="U22" t="s">
        <v>69</v>
      </c>
      <c r="V22" t="s">
        <v>152</v>
      </c>
      <c r="W22" t="s">
        <v>69</v>
      </c>
      <c r="X22">
        <v>165.19200000000001</v>
      </c>
      <c r="Y22" t="s">
        <v>69</v>
      </c>
      <c r="Z22" t="s">
        <v>69</v>
      </c>
      <c r="AA22">
        <v>260</v>
      </c>
      <c r="AB22" t="s">
        <v>155</v>
      </c>
      <c r="AC22" t="s">
        <v>69</v>
      </c>
      <c r="AD22" t="s">
        <v>150</v>
      </c>
      <c r="AE22" t="s">
        <v>69</v>
      </c>
      <c r="AF22">
        <v>105.093</v>
      </c>
      <c r="AG22" t="s">
        <v>69</v>
      </c>
      <c r="AH22" t="s">
        <v>69</v>
      </c>
      <c r="AI22">
        <v>261</v>
      </c>
      <c r="AJ22" t="s">
        <v>69</v>
      </c>
      <c r="AK22" t="s">
        <v>69</v>
      </c>
      <c r="AL22" t="s">
        <v>152</v>
      </c>
      <c r="AM22" t="s">
        <v>69</v>
      </c>
      <c r="AN22">
        <v>181.191</v>
      </c>
      <c r="AO22" t="s">
        <v>69</v>
      </c>
      <c r="AP22" t="s">
        <v>69</v>
      </c>
      <c r="AQ22">
        <v>341</v>
      </c>
      <c r="AR22" t="s">
        <v>72</v>
      </c>
      <c r="AS22" t="s">
        <v>69</v>
      </c>
      <c r="AT22" t="s">
        <v>71</v>
      </c>
      <c r="AU22" t="s">
        <v>69</v>
      </c>
      <c r="AV22">
        <v>131.17500000000001</v>
      </c>
      <c r="AW22" t="s">
        <v>69</v>
      </c>
      <c r="AX22" t="s">
        <v>69</v>
      </c>
      <c r="AY22">
        <v>342</v>
      </c>
      <c r="AZ22" t="s">
        <v>72</v>
      </c>
      <c r="BA22" t="s">
        <v>69</v>
      </c>
      <c r="BB22" t="s">
        <v>71</v>
      </c>
      <c r="BC22" t="s">
        <v>69</v>
      </c>
      <c r="BD22">
        <v>131.17500000000001</v>
      </c>
      <c r="BE22" t="s">
        <v>69</v>
      </c>
      <c r="BF22" t="s">
        <v>69</v>
      </c>
      <c r="BG22">
        <v>376</v>
      </c>
      <c r="BH22" t="s">
        <v>155</v>
      </c>
      <c r="BI22" t="s">
        <v>69</v>
      </c>
      <c r="BJ22" t="s">
        <v>150</v>
      </c>
      <c r="BK22" t="s">
        <v>69</v>
      </c>
      <c r="BL22">
        <v>105.093</v>
      </c>
      <c r="BM22" t="s">
        <v>69</v>
      </c>
      <c r="BN22" t="s">
        <v>69</v>
      </c>
      <c r="BO22">
        <v>379</v>
      </c>
      <c r="BP22" t="s">
        <v>116</v>
      </c>
      <c r="BQ22" t="s">
        <v>69</v>
      </c>
      <c r="BR22" t="s">
        <v>117</v>
      </c>
      <c r="BS22" t="s">
        <v>69</v>
      </c>
      <c r="BT22">
        <v>149.208</v>
      </c>
      <c r="BU22" t="s">
        <v>69</v>
      </c>
      <c r="BV22" t="s">
        <v>69</v>
      </c>
      <c r="BW22">
        <v>410</v>
      </c>
      <c r="BX22" t="s">
        <v>147</v>
      </c>
      <c r="BY22" t="s">
        <v>69</v>
      </c>
      <c r="BZ22" t="s">
        <v>148</v>
      </c>
      <c r="CA22" t="s">
        <v>69</v>
      </c>
      <c r="CB22">
        <v>146.14599999999999</v>
      </c>
      <c r="CC22" t="s">
        <v>69</v>
      </c>
      <c r="CD22" t="s">
        <v>69</v>
      </c>
      <c r="CE22">
        <v>411</v>
      </c>
      <c r="CF22" t="s">
        <v>72</v>
      </c>
      <c r="CG22" t="s">
        <v>69</v>
      </c>
      <c r="CH22" t="s">
        <v>71</v>
      </c>
      <c r="CI22" t="s">
        <v>69</v>
      </c>
      <c r="CJ22">
        <v>131.17500000000001</v>
      </c>
      <c r="CK22" t="s">
        <v>69</v>
      </c>
      <c r="CL22" t="s">
        <v>69</v>
      </c>
      <c r="CM22">
        <v>413</v>
      </c>
      <c r="CN22" t="s">
        <v>145</v>
      </c>
      <c r="CO22" t="s">
        <v>69</v>
      </c>
      <c r="CP22" t="s">
        <v>71</v>
      </c>
      <c r="CQ22" t="s">
        <v>69</v>
      </c>
      <c r="CR22">
        <v>131.17500000000001</v>
      </c>
      <c r="CS22" t="s">
        <v>69</v>
      </c>
      <c r="CT22" t="s">
        <v>69</v>
      </c>
      <c r="CU22">
        <v>415</v>
      </c>
      <c r="CV22" t="s">
        <v>72</v>
      </c>
      <c r="CW22" t="s">
        <v>69</v>
      </c>
      <c r="CX22" t="s">
        <v>71</v>
      </c>
      <c r="CY22" t="s">
        <v>69</v>
      </c>
      <c r="CZ22">
        <v>131.17500000000001</v>
      </c>
      <c r="DA22" t="s">
        <v>69</v>
      </c>
      <c r="DB22" t="s">
        <v>69</v>
      </c>
      <c r="DC22">
        <v>444</v>
      </c>
      <c r="DD22" t="s">
        <v>151</v>
      </c>
      <c r="DE22" t="s">
        <v>69</v>
      </c>
      <c r="DF22" t="s">
        <v>152</v>
      </c>
      <c r="DG22" t="s">
        <v>69</v>
      </c>
      <c r="DH22">
        <v>165.19200000000001</v>
      </c>
      <c r="DI22" t="s">
        <v>69</v>
      </c>
      <c r="DJ22" t="s">
        <v>69</v>
      </c>
      <c r="DK22">
        <v>481</v>
      </c>
      <c r="DL22" t="s">
        <v>73</v>
      </c>
      <c r="DM22" t="s">
        <v>69</v>
      </c>
      <c r="DN22" t="s">
        <v>71</v>
      </c>
      <c r="DO22" t="s">
        <v>69</v>
      </c>
      <c r="DP22">
        <v>89.093999999999994</v>
      </c>
      <c r="DQ22" t="s">
        <v>69</v>
      </c>
      <c r="DR22" t="s">
        <v>69</v>
      </c>
      <c r="DS22">
        <v>482</v>
      </c>
      <c r="DT22" t="s">
        <v>72</v>
      </c>
      <c r="DU22" t="s">
        <v>69</v>
      </c>
      <c r="DV22" t="s">
        <v>71</v>
      </c>
      <c r="DW22" t="s">
        <v>69</v>
      </c>
      <c r="DX22">
        <v>131.17500000000001</v>
      </c>
      <c r="DY22" t="s">
        <v>69</v>
      </c>
      <c r="DZ22" t="s">
        <v>69</v>
      </c>
      <c r="EA22">
        <v>512</v>
      </c>
      <c r="EB22" t="s">
        <v>149</v>
      </c>
      <c r="EC22" t="s">
        <v>69</v>
      </c>
      <c r="ED22" t="s">
        <v>150</v>
      </c>
      <c r="EE22" t="s">
        <v>69</v>
      </c>
      <c r="EF22">
        <v>119.119</v>
      </c>
      <c r="EG22" t="s">
        <v>69</v>
      </c>
      <c r="EH22" t="s">
        <v>69</v>
      </c>
      <c r="EI22">
        <v>516</v>
      </c>
      <c r="EJ22" t="s">
        <v>157</v>
      </c>
      <c r="EK22" t="s">
        <v>69</v>
      </c>
      <c r="EL22" t="s">
        <v>75</v>
      </c>
      <c r="EM22" t="s">
        <v>69</v>
      </c>
      <c r="EN22">
        <v>155.15600000000001</v>
      </c>
      <c r="EO22" t="s">
        <v>69</v>
      </c>
      <c r="EP22" t="s">
        <v>69</v>
      </c>
      <c r="EQ22">
        <v>519</v>
      </c>
      <c r="ER22" t="s">
        <v>72</v>
      </c>
      <c r="ES22" t="s">
        <v>69</v>
      </c>
      <c r="ET22" t="s">
        <v>71</v>
      </c>
      <c r="EU22" t="s">
        <v>69</v>
      </c>
      <c r="EV22">
        <v>131.17500000000001</v>
      </c>
      <c r="EW22" t="s">
        <v>69</v>
      </c>
      <c r="EX22" t="s">
        <v>69</v>
      </c>
      <c r="EY22">
        <v>522</v>
      </c>
      <c r="EZ22" t="s">
        <v>72</v>
      </c>
      <c r="FA22" t="s">
        <v>69</v>
      </c>
      <c r="FB22" t="s">
        <v>71</v>
      </c>
      <c r="FC22" t="s">
        <v>69</v>
      </c>
      <c r="FD22">
        <v>131.17500000000001</v>
      </c>
      <c r="FE22" t="s">
        <v>69</v>
      </c>
      <c r="FF22" t="s">
        <v>69</v>
      </c>
      <c r="FG22">
        <v>523</v>
      </c>
      <c r="FH22" t="s">
        <v>147</v>
      </c>
      <c r="FI22" t="s">
        <v>69</v>
      </c>
      <c r="FJ22" t="s">
        <v>148</v>
      </c>
      <c r="FK22" t="s">
        <v>69</v>
      </c>
      <c r="FL22">
        <v>146.14599999999999</v>
      </c>
      <c r="FM22" t="s">
        <v>69</v>
      </c>
      <c r="FN22" t="s">
        <v>69</v>
      </c>
      <c r="FO22">
        <v>547</v>
      </c>
      <c r="FP22" t="s">
        <v>151</v>
      </c>
      <c r="FQ22" t="s">
        <v>69</v>
      </c>
      <c r="FR22" t="s">
        <v>152</v>
      </c>
      <c r="FS22" t="s">
        <v>69</v>
      </c>
      <c r="FT22">
        <v>165.19200000000001</v>
      </c>
      <c r="FU22" t="s">
        <v>69</v>
      </c>
      <c r="FV22" t="s">
        <v>69</v>
      </c>
      <c r="FW22">
        <v>550</v>
      </c>
      <c r="FX22" t="s">
        <v>119</v>
      </c>
      <c r="FY22" t="s">
        <v>69</v>
      </c>
      <c r="FZ22" t="s">
        <v>120</v>
      </c>
      <c r="GA22" t="s">
        <v>69</v>
      </c>
      <c r="GB22">
        <v>147.131</v>
      </c>
      <c r="GC22" t="s">
        <v>69</v>
      </c>
      <c r="GD22" t="s">
        <v>69</v>
      </c>
      <c r="GE22">
        <v>551</v>
      </c>
      <c r="GF22" t="s">
        <v>149</v>
      </c>
      <c r="GG22" t="s">
        <v>69</v>
      </c>
      <c r="GH22" t="s">
        <v>150</v>
      </c>
      <c r="GI22" t="s">
        <v>69</v>
      </c>
      <c r="GJ22">
        <v>119.119</v>
      </c>
      <c r="GK22" t="s">
        <v>69</v>
      </c>
      <c r="GL22" t="s">
        <v>69</v>
      </c>
      <c r="GM22">
        <v>554</v>
      </c>
      <c r="GN22" t="s">
        <v>149</v>
      </c>
      <c r="GO22" t="s">
        <v>69</v>
      </c>
      <c r="GP22" t="s">
        <v>150</v>
      </c>
      <c r="GQ22" t="s">
        <v>69</v>
      </c>
      <c r="GR22">
        <v>119.119</v>
      </c>
      <c r="GS22" t="s">
        <v>69</v>
      </c>
      <c r="GT22" t="s">
        <v>69</v>
      </c>
      <c r="GU22">
        <v>558</v>
      </c>
      <c r="GV22" t="s">
        <v>147</v>
      </c>
      <c r="GW22" t="s">
        <v>69</v>
      </c>
      <c r="GX22" t="s">
        <v>148</v>
      </c>
      <c r="GY22" t="s">
        <v>69</v>
      </c>
      <c r="GZ22">
        <v>146.14599999999999</v>
      </c>
      <c r="HA22" t="s">
        <v>69</v>
      </c>
      <c r="HB22" t="s">
        <v>69</v>
      </c>
      <c r="HC22">
        <v>560</v>
      </c>
      <c r="HD22" t="s">
        <v>70</v>
      </c>
      <c r="HE22" t="s">
        <v>69</v>
      </c>
      <c r="HF22" t="s">
        <v>71</v>
      </c>
      <c r="HG22" t="s">
        <v>69</v>
      </c>
      <c r="HH22">
        <v>75.066999999999993</v>
      </c>
      <c r="HI22" t="s">
        <v>69</v>
      </c>
      <c r="HJ22" t="s">
        <v>69</v>
      </c>
      <c r="HK22">
        <v>562</v>
      </c>
      <c r="HL22" t="s">
        <v>116</v>
      </c>
      <c r="HM22" t="s">
        <v>69</v>
      </c>
      <c r="HN22" t="s">
        <v>117</v>
      </c>
      <c r="HO22" t="s">
        <v>69</v>
      </c>
      <c r="HP22">
        <v>149.208</v>
      </c>
      <c r="HQ22" t="s">
        <v>69</v>
      </c>
      <c r="HR22" t="s">
        <v>69</v>
      </c>
      <c r="HS22">
        <v>580</v>
      </c>
      <c r="HT22" t="s">
        <v>116</v>
      </c>
      <c r="HU22" t="s">
        <v>69</v>
      </c>
      <c r="HV22" t="s">
        <v>117</v>
      </c>
      <c r="HW22" t="s">
        <v>69</v>
      </c>
      <c r="HX22">
        <v>149.208</v>
      </c>
      <c r="HY22" t="s">
        <v>69</v>
      </c>
      <c r="HZ22" t="s">
        <v>69</v>
      </c>
      <c r="IA22">
        <v>584</v>
      </c>
      <c r="IB22" t="s">
        <v>157</v>
      </c>
      <c r="IC22" t="s">
        <v>69</v>
      </c>
      <c r="ID22" t="s">
        <v>75</v>
      </c>
      <c r="IE22" t="s">
        <v>69</v>
      </c>
      <c r="IF22">
        <v>155.15600000000001</v>
      </c>
      <c r="IG22" t="s">
        <v>69</v>
      </c>
      <c r="IH22" t="s">
        <v>69</v>
      </c>
      <c r="II22">
        <v>588</v>
      </c>
      <c r="IJ22" t="s">
        <v>72</v>
      </c>
      <c r="IK22" t="s">
        <v>69</v>
      </c>
      <c r="IL22" t="s">
        <v>71</v>
      </c>
      <c r="IM22" t="s">
        <v>69</v>
      </c>
      <c r="IN22">
        <v>131.17500000000001</v>
      </c>
      <c r="IO22" t="s">
        <v>69</v>
      </c>
      <c r="IP22" t="s">
        <v>69</v>
      </c>
      <c r="IQ22">
        <v>591</v>
      </c>
      <c r="IR22" t="s">
        <v>73</v>
      </c>
      <c r="IS22" t="s">
        <v>69</v>
      </c>
      <c r="IT22" t="s">
        <v>71</v>
      </c>
      <c r="IU22" t="s">
        <v>69</v>
      </c>
      <c r="IV22">
        <v>89.093999999999994</v>
      </c>
      <c r="IW22" t="s">
        <v>69</v>
      </c>
      <c r="IX22" t="s">
        <v>69</v>
      </c>
      <c r="IY22">
        <v>592</v>
      </c>
      <c r="IZ22" t="s">
        <v>73</v>
      </c>
      <c r="JA22" t="s">
        <v>69</v>
      </c>
      <c r="JB22" t="s">
        <v>71</v>
      </c>
      <c r="JC22" t="s">
        <v>69</v>
      </c>
      <c r="JD22">
        <v>89.093999999999994</v>
      </c>
      <c r="JE22" t="s">
        <v>69</v>
      </c>
      <c r="JF22" t="s">
        <v>69</v>
      </c>
      <c r="JG22">
        <v>599</v>
      </c>
      <c r="JH22" t="s">
        <v>73</v>
      </c>
      <c r="JI22" t="s">
        <v>69</v>
      </c>
      <c r="JJ22" t="s">
        <v>71</v>
      </c>
      <c r="JK22" t="s">
        <v>69</v>
      </c>
      <c r="JL22">
        <v>89.093999999999994</v>
      </c>
      <c r="JM22" t="s">
        <v>69</v>
      </c>
      <c r="JN22" t="s">
        <v>69</v>
      </c>
    </row>
    <row r="23" spans="1:274" x14ac:dyDescent="0.25">
      <c r="A23">
        <v>7</v>
      </c>
      <c r="B23" t="str">
        <f>HYPERLINK("http://www.ncbi.nlm.nih.gov/protein/XP_047420403.1","XP_047420403.1")</f>
        <v>XP_047420403.1</v>
      </c>
      <c r="C23">
        <v>74939</v>
      </c>
      <c r="D23" t="str">
        <f>HYPERLINK("http://www.ncbi.nlm.nih.gov/Taxonomy/Browser/wwwtax.cgi?mode=Info&amp;id=30640&amp;lvl=3&amp;lin=f&amp;keep=1&amp;srchmode=1&amp;unlock","30640")</f>
        <v>30640</v>
      </c>
      <c r="E23" t="s">
        <v>66</v>
      </c>
      <c r="F23" t="str">
        <f>HYPERLINK("http://www.ncbi.nlm.nih.gov/Taxonomy/Browser/wwwtax.cgi?mode=Info&amp;id=30640&amp;lvl=3&amp;lin=f&amp;keep=1&amp;srchmode=1&amp;unlock","Neosciurus carolinensis")</f>
        <v>Neosciurus carolinensis</v>
      </c>
      <c r="G23" t="s">
        <v>101</v>
      </c>
      <c r="H23" t="str">
        <f>HYPERLINK("http://www.ncbi.nlm.nih.gov/protein/XP_047420403.1","mitochondrial import receptor subunit TOM70")</f>
        <v>mitochondrial import receptor subunit TOM70</v>
      </c>
      <c r="I23" t="s">
        <v>270</v>
      </c>
      <c r="J23" t="s">
        <v>69</v>
      </c>
      <c r="K23">
        <v>216</v>
      </c>
      <c r="L23" t="s">
        <v>145</v>
      </c>
      <c r="M23" t="s">
        <v>69</v>
      </c>
      <c r="N23" t="s">
        <v>71</v>
      </c>
      <c r="O23" t="s">
        <v>69</v>
      </c>
      <c r="P23">
        <v>131.17500000000001</v>
      </c>
      <c r="Q23" t="s">
        <v>69</v>
      </c>
      <c r="R23" t="s">
        <v>69</v>
      </c>
      <c r="S23">
        <v>257</v>
      </c>
      <c r="T23" t="s">
        <v>151</v>
      </c>
      <c r="U23" t="s">
        <v>69</v>
      </c>
      <c r="V23" t="s">
        <v>152</v>
      </c>
      <c r="W23" t="s">
        <v>69</v>
      </c>
      <c r="X23">
        <v>165.19200000000001</v>
      </c>
      <c r="Y23" t="s">
        <v>69</v>
      </c>
      <c r="Z23" t="s">
        <v>69</v>
      </c>
      <c r="AA23">
        <v>260</v>
      </c>
      <c r="AB23" t="s">
        <v>155</v>
      </c>
      <c r="AC23" t="s">
        <v>69</v>
      </c>
      <c r="AD23" t="s">
        <v>150</v>
      </c>
      <c r="AE23" t="s">
        <v>69</v>
      </c>
      <c r="AF23">
        <v>105.093</v>
      </c>
      <c r="AG23" t="s">
        <v>69</v>
      </c>
      <c r="AH23" t="s">
        <v>69</v>
      </c>
      <c r="AI23">
        <v>261</v>
      </c>
      <c r="AJ23" t="s">
        <v>69</v>
      </c>
      <c r="AK23" t="s">
        <v>69</v>
      </c>
      <c r="AL23" t="s">
        <v>152</v>
      </c>
      <c r="AM23" t="s">
        <v>69</v>
      </c>
      <c r="AN23">
        <v>181.191</v>
      </c>
      <c r="AO23" t="s">
        <v>69</v>
      </c>
      <c r="AP23" t="s">
        <v>69</v>
      </c>
      <c r="AQ23">
        <v>341</v>
      </c>
      <c r="AR23" t="s">
        <v>72</v>
      </c>
      <c r="AS23" t="s">
        <v>69</v>
      </c>
      <c r="AT23" t="s">
        <v>71</v>
      </c>
      <c r="AU23" t="s">
        <v>69</v>
      </c>
      <c r="AV23">
        <v>131.17500000000001</v>
      </c>
      <c r="AW23" t="s">
        <v>69</v>
      </c>
      <c r="AX23" t="s">
        <v>69</v>
      </c>
      <c r="AY23">
        <v>342</v>
      </c>
      <c r="AZ23" t="s">
        <v>72</v>
      </c>
      <c r="BA23" t="s">
        <v>69</v>
      </c>
      <c r="BB23" t="s">
        <v>71</v>
      </c>
      <c r="BC23" t="s">
        <v>69</v>
      </c>
      <c r="BD23">
        <v>131.17500000000001</v>
      </c>
      <c r="BE23" t="s">
        <v>69</v>
      </c>
      <c r="BF23" t="s">
        <v>69</v>
      </c>
      <c r="BG23">
        <v>376</v>
      </c>
      <c r="BH23" t="s">
        <v>155</v>
      </c>
      <c r="BI23" t="s">
        <v>69</v>
      </c>
      <c r="BJ23" t="s">
        <v>150</v>
      </c>
      <c r="BK23" t="s">
        <v>69</v>
      </c>
      <c r="BL23">
        <v>105.093</v>
      </c>
      <c r="BM23" t="s">
        <v>69</v>
      </c>
      <c r="BN23" t="s">
        <v>69</v>
      </c>
      <c r="BO23">
        <v>379</v>
      </c>
      <c r="BP23" t="s">
        <v>116</v>
      </c>
      <c r="BQ23" t="s">
        <v>69</v>
      </c>
      <c r="BR23" t="s">
        <v>117</v>
      </c>
      <c r="BS23" t="s">
        <v>69</v>
      </c>
      <c r="BT23">
        <v>149.208</v>
      </c>
      <c r="BU23" t="s">
        <v>69</v>
      </c>
      <c r="BV23" t="s">
        <v>69</v>
      </c>
      <c r="BW23">
        <v>410</v>
      </c>
      <c r="BX23" t="s">
        <v>147</v>
      </c>
      <c r="BY23" t="s">
        <v>69</v>
      </c>
      <c r="BZ23" t="s">
        <v>148</v>
      </c>
      <c r="CA23" t="s">
        <v>69</v>
      </c>
      <c r="CB23">
        <v>146.14599999999999</v>
      </c>
      <c r="CC23" t="s">
        <v>69</v>
      </c>
      <c r="CD23" t="s">
        <v>69</v>
      </c>
      <c r="CE23">
        <v>411</v>
      </c>
      <c r="CF23" t="s">
        <v>72</v>
      </c>
      <c r="CG23" t="s">
        <v>69</v>
      </c>
      <c r="CH23" t="s">
        <v>71</v>
      </c>
      <c r="CI23" t="s">
        <v>69</v>
      </c>
      <c r="CJ23">
        <v>131.17500000000001</v>
      </c>
      <c r="CK23" t="s">
        <v>69</v>
      </c>
      <c r="CL23" t="s">
        <v>69</v>
      </c>
      <c r="CM23">
        <v>413</v>
      </c>
      <c r="CN23" t="s">
        <v>145</v>
      </c>
      <c r="CO23" t="s">
        <v>69</v>
      </c>
      <c r="CP23" t="s">
        <v>71</v>
      </c>
      <c r="CQ23" t="s">
        <v>69</v>
      </c>
      <c r="CR23">
        <v>131.17500000000001</v>
      </c>
      <c r="CS23" t="s">
        <v>69</v>
      </c>
      <c r="CT23" t="s">
        <v>69</v>
      </c>
      <c r="CU23">
        <v>415</v>
      </c>
      <c r="CV23" t="s">
        <v>72</v>
      </c>
      <c r="CW23" t="s">
        <v>69</v>
      </c>
      <c r="CX23" t="s">
        <v>71</v>
      </c>
      <c r="CY23" t="s">
        <v>69</v>
      </c>
      <c r="CZ23">
        <v>131.17500000000001</v>
      </c>
      <c r="DA23" t="s">
        <v>69</v>
      </c>
      <c r="DB23" t="s">
        <v>69</v>
      </c>
      <c r="DC23">
        <v>444</v>
      </c>
      <c r="DD23" t="s">
        <v>151</v>
      </c>
      <c r="DE23" t="s">
        <v>69</v>
      </c>
      <c r="DF23" t="s">
        <v>152</v>
      </c>
      <c r="DG23" t="s">
        <v>69</v>
      </c>
      <c r="DH23">
        <v>165.19200000000001</v>
      </c>
      <c r="DI23" t="s">
        <v>69</v>
      </c>
      <c r="DJ23" t="s">
        <v>69</v>
      </c>
      <c r="DK23">
        <v>481</v>
      </c>
      <c r="DL23" t="s">
        <v>73</v>
      </c>
      <c r="DM23" t="s">
        <v>69</v>
      </c>
      <c r="DN23" t="s">
        <v>71</v>
      </c>
      <c r="DO23" t="s">
        <v>69</v>
      </c>
      <c r="DP23">
        <v>89.093999999999994</v>
      </c>
      <c r="DQ23" t="s">
        <v>69</v>
      </c>
      <c r="DR23" t="s">
        <v>69</v>
      </c>
      <c r="DS23">
        <v>482</v>
      </c>
      <c r="DT23" t="s">
        <v>72</v>
      </c>
      <c r="DU23" t="s">
        <v>69</v>
      </c>
      <c r="DV23" t="s">
        <v>71</v>
      </c>
      <c r="DW23" t="s">
        <v>69</v>
      </c>
      <c r="DX23">
        <v>131.17500000000001</v>
      </c>
      <c r="DY23" t="s">
        <v>69</v>
      </c>
      <c r="DZ23" t="s">
        <v>69</v>
      </c>
      <c r="EA23">
        <v>512</v>
      </c>
      <c r="EB23" t="s">
        <v>149</v>
      </c>
      <c r="EC23" t="s">
        <v>69</v>
      </c>
      <c r="ED23" t="s">
        <v>150</v>
      </c>
      <c r="EE23" t="s">
        <v>69</v>
      </c>
      <c r="EF23">
        <v>119.119</v>
      </c>
      <c r="EG23" t="s">
        <v>69</v>
      </c>
      <c r="EH23" t="s">
        <v>69</v>
      </c>
      <c r="EI23">
        <v>516</v>
      </c>
      <c r="EJ23" t="s">
        <v>157</v>
      </c>
      <c r="EK23" t="s">
        <v>69</v>
      </c>
      <c r="EL23" t="s">
        <v>75</v>
      </c>
      <c r="EM23" t="s">
        <v>69</v>
      </c>
      <c r="EN23">
        <v>155.15600000000001</v>
      </c>
      <c r="EO23" t="s">
        <v>69</v>
      </c>
      <c r="EP23" t="s">
        <v>69</v>
      </c>
      <c r="EQ23">
        <v>519</v>
      </c>
      <c r="ER23" t="s">
        <v>72</v>
      </c>
      <c r="ES23" t="s">
        <v>69</v>
      </c>
      <c r="ET23" t="s">
        <v>71</v>
      </c>
      <c r="EU23" t="s">
        <v>69</v>
      </c>
      <c r="EV23">
        <v>131.17500000000001</v>
      </c>
      <c r="EW23" t="s">
        <v>69</v>
      </c>
      <c r="EX23" t="s">
        <v>69</v>
      </c>
      <c r="EY23">
        <v>522</v>
      </c>
      <c r="EZ23" t="s">
        <v>72</v>
      </c>
      <c r="FA23" t="s">
        <v>69</v>
      </c>
      <c r="FB23" t="s">
        <v>71</v>
      </c>
      <c r="FC23" t="s">
        <v>69</v>
      </c>
      <c r="FD23">
        <v>131.17500000000001</v>
      </c>
      <c r="FE23" t="s">
        <v>69</v>
      </c>
      <c r="FF23" t="s">
        <v>69</v>
      </c>
      <c r="FG23">
        <v>523</v>
      </c>
      <c r="FH23" t="s">
        <v>147</v>
      </c>
      <c r="FI23" t="s">
        <v>69</v>
      </c>
      <c r="FJ23" t="s">
        <v>148</v>
      </c>
      <c r="FK23" t="s">
        <v>69</v>
      </c>
      <c r="FL23">
        <v>146.14599999999999</v>
      </c>
      <c r="FM23" t="s">
        <v>69</v>
      </c>
      <c r="FN23" t="s">
        <v>69</v>
      </c>
      <c r="FO23">
        <v>547</v>
      </c>
      <c r="FP23" t="s">
        <v>151</v>
      </c>
      <c r="FQ23" t="s">
        <v>69</v>
      </c>
      <c r="FR23" t="s">
        <v>152</v>
      </c>
      <c r="FS23" t="s">
        <v>69</v>
      </c>
      <c r="FT23">
        <v>165.19200000000001</v>
      </c>
      <c r="FU23" t="s">
        <v>69</v>
      </c>
      <c r="FV23" t="s">
        <v>69</v>
      </c>
      <c r="FW23">
        <v>550</v>
      </c>
      <c r="FX23" t="s">
        <v>119</v>
      </c>
      <c r="FY23" t="s">
        <v>69</v>
      </c>
      <c r="FZ23" t="s">
        <v>120</v>
      </c>
      <c r="GA23" t="s">
        <v>69</v>
      </c>
      <c r="GB23">
        <v>147.131</v>
      </c>
      <c r="GC23" t="s">
        <v>69</v>
      </c>
      <c r="GD23" t="s">
        <v>69</v>
      </c>
      <c r="GE23">
        <v>551</v>
      </c>
      <c r="GF23" t="s">
        <v>149</v>
      </c>
      <c r="GG23" t="s">
        <v>69</v>
      </c>
      <c r="GH23" t="s">
        <v>150</v>
      </c>
      <c r="GI23" t="s">
        <v>69</v>
      </c>
      <c r="GJ23">
        <v>119.119</v>
      </c>
      <c r="GK23" t="s">
        <v>69</v>
      </c>
      <c r="GL23" t="s">
        <v>69</v>
      </c>
      <c r="GM23">
        <v>554</v>
      </c>
      <c r="GN23" t="s">
        <v>149</v>
      </c>
      <c r="GO23" t="s">
        <v>69</v>
      </c>
      <c r="GP23" t="s">
        <v>150</v>
      </c>
      <c r="GQ23" t="s">
        <v>69</v>
      </c>
      <c r="GR23">
        <v>119.119</v>
      </c>
      <c r="GS23" t="s">
        <v>69</v>
      </c>
      <c r="GT23" t="s">
        <v>69</v>
      </c>
      <c r="GU23">
        <v>558</v>
      </c>
      <c r="GV23" t="s">
        <v>147</v>
      </c>
      <c r="GW23" t="s">
        <v>69</v>
      </c>
      <c r="GX23" t="s">
        <v>148</v>
      </c>
      <c r="GY23" t="s">
        <v>69</v>
      </c>
      <c r="GZ23">
        <v>146.14599999999999</v>
      </c>
      <c r="HA23" t="s">
        <v>69</v>
      </c>
      <c r="HB23" t="s">
        <v>69</v>
      </c>
      <c r="HC23">
        <v>560</v>
      </c>
      <c r="HD23" t="s">
        <v>70</v>
      </c>
      <c r="HE23" t="s">
        <v>69</v>
      </c>
      <c r="HF23" t="s">
        <v>71</v>
      </c>
      <c r="HG23" t="s">
        <v>69</v>
      </c>
      <c r="HH23">
        <v>75.066999999999993</v>
      </c>
      <c r="HI23" t="s">
        <v>69</v>
      </c>
      <c r="HJ23" t="s">
        <v>69</v>
      </c>
      <c r="HK23">
        <v>562</v>
      </c>
      <c r="HL23" t="s">
        <v>116</v>
      </c>
      <c r="HM23" t="s">
        <v>69</v>
      </c>
      <c r="HN23" t="s">
        <v>117</v>
      </c>
      <c r="HO23" t="s">
        <v>69</v>
      </c>
      <c r="HP23">
        <v>149.208</v>
      </c>
      <c r="HQ23" t="s">
        <v>69</v>
      </c>
      <c r="HR23" t="s">
        <v>69</v>
      </c>
      <c r="HS23">
        <v>580</v>
      </c>
      <c r="HT23" t="s">
        <v>116</v>
      </c>
      <c r="HU23" t="s">
        <v>69</v>
      </c>
      <c r="HV23" t="s">
        <v>117</v>
      </c>
      <c r="HW23" t="s">
        <v>69</v>
      </c>
      <c r="HX23">
        <v>149.208</v>
      </c>
      <c r="HY23" t="s">
        <v>69</v>
      </c>
      <c r="HZ23" t="s">
        <v>69</v>
      </c>
      <c r="IA23">
        <v>584</v>
      </c>
      <c r="IB23" t="s">
        <v>157</v>
      </c>
      <c r="IC23" t="s">
        <v>69</v>
      </c>
      <c r="ID23" t="s">
        <v>75</v>
      </c>
      <c r="IE23" t="s">
        <v>69</v>
      </c>
      <c r="IF23">
        <v>155.15600000000001</v>
      </c>
      <c r="IG23" t="s">
        <v>69</v>
      </c>
      <c r="IH23" t="s">
        <v>69</v>
      </c>
      <c r="II23">
        <v>588</v>
      </c>
      <c r="IJ23" t="s">
        <v>72</v>
      </c>
      <c r="IK23" t="s">
        <v>69</v>
      </c>
      <c r="IL23" t="s">
        <v>71</v>
      </c>
      <c r="IM23" t="s">
        <v>69</v>
      </c>
      <c r="IN23">
        <v>131.17500000000001</v>
      </c>
      <c r="IO23" t="s">
        <v>69</v>
      </c>
      <c r="IP23" t="s">
        <v>69</v>
      </c>
      <c r="IQ23">
        <v>591</v>
      </c>
      <c r="IR23" t="s">
        <v>73</v>
      </c>
      <c r="IS23" t="s">
        <v>69</v>
      </c>
      <c r="IT23" t="s">
        <v>71</v>
      </c>
      <c r="IU23" t="s">
        <v>69</v>
      </c>
      <c r="IV23">
        <v>89.093999999999994</v>
      </c>
      <c r="IW23" t="s">
        <v>69</v>
      </c>
      <c r="IX23" t="s">
        <v>69</v>
      </c>
      <c r="IY23">
        <v>592</v>
      </c>
      <c r="IZ23" t="s">
        <v>73</v>
      </c>
      <c r="JA23" t="s">
        <v>69</v>
      </c>
      <c r="JB23" t="s">
        <v>71</v>
      </c>
      <c r="JC23" t="s">
        <v>69</v>
      </c>
      <c r="JD23">
        <v>89.093999999999994</v>
      </c>
      <c r="JE23" t="s">
        <v>69</v>
      </c>
      <c r="JF23" t="s">
        <v>69</v>
      </c>
      <c r="JG23">
        <v>599</v>
      </c>
      <c r="JH23" t="s">
        <v>73</v>
      </c>
      <c r="JI23" t="s">
        <v>69</v>
      </c>
      <c r="JJ23" t="s">
        <v>71</v>
      </c>
      <c r="JK23" t="s">
        <v>69</v>
      </c>
      <c r="JL23">
        <v>89.093999999999994</v>
      </c>
      <c r="JM23" t="s">
        <v>69</v>
      </c>
      <c r="JN23" t="s">
        <v>69</v>
      </c>
    </row>
    <row r="24" spans="1:274" x14ac:dyDescent="0.25">
      <c r="A24">
        <v>7</v>
      </c>
      <c r="B24" t="str">
        <f>HYPERLINK("http://www.ncbi.nlm.nih.gov/protein/XP_036854522.1","XP_036854522.1")</f>
        <v>XP_036854522.1</v>
      </c>
      <c r="C24">
        <v>56064</v>
      </c>
      <c r="D24" t="str">
        <f>HYPERLINK("http://www.ncbi.nlm.nih.gov/Taxonomy/Browser/wwwtax.cgi?mode=Info&amp;id=9974&amp;lvl=3&amp;lin=f&amp;keep=1&amp;srchmode=1&amp;unlock","9974")</f>
        <v>9974</v>
      </c>
      <c r="E24" t="s">
        <v>66</v>
      </c>
      <c r="F24" t="str">
        <f>HYPERLINK("http://www.ncbi.nlm.nih.gov/Taxonomy/Browser/wwwtax.cgi?mode=Info&amp;id=9974&amp;lvl=3&amp;lin=f&amp;keep=1&amp;srchmode=1&amp;unlock","Manis javanica")</f>
        <v>Manis javanica</v>
      </c>
      <c r="G24" t="s">
        <v>100</v>
      </c>
      <c r="H24" t="str">
        <f>HYPERLINK("http://www.ncbi.nlm.nih.gov/protein/XP_036854522.1","mitochondrial import receptor subunit TOM70")</f>
        <v>mitochondrial import receptor subunit TOM70</v>
      </c>
      <c r="I24" t="s">
        <v>270</v>
      </c>
      <c r="J24" t="s">
        <v>153</v>
      </c>
      <c r="K24">
        <v>217</v>
      </c>
      <c r="L24" t="s">
        <v>145</v>
      </c>
      <c r="M24" t="s">
        <v>69</v>
      </c>
      <c r="N24" t="s">
        <v>71</v>
      </c>
      <c r="O24" t="s">
        <v>69</v>
      </c>
      <c r="P24">
        <v>131.17500000000001</v>
      </c>
      <c r="Q24" t="s">
        <v>69</v>
      </c>
      <c r="R24" t="s">
        <v>69</v>
      </c>
      <c r="S24">
        <v>258</v>
      </c>
      <c r="T24" t="s">
        <v>151</v>
      </c>
      <c r="U24" t="s">
        <v>69</v>
      </c>
      <c r="V24" t="s">
        <v>152</v>
      </c>
      <c r="W24" t="s">
        <v>69</v>
      </c>
      <c r="X24">
        <v>165.19200000000001</v>
      </c>
      <c r="Y24" t="s">
        <v>69</v>
      </c>
      <c r="Z24" t="s">
        <v>69</v>
      </c>
      <c r="AA24">
        <v>261</v>
      </c>
      <c r="AB24" t="s">
        <v>155</v>
      </c>
      <c r="AC24" t="s">
        <v>69</v>
      </c>
      <c r="AD24" t="s">
        <v>150</v>
      </c>
      <c r="AE24" t="s">
        <v>69</v>
      </c>
      <c r="AF24">
        <v>105.093</v>
      </c>
      <c r="AG24" t="s">
        <v>69</v>
      </c>
      <c r="AH24" t="s">
        <v>69</v>
      </c>
      <c r="AI24">
        <v>262</v>
      </c>
      <c r="AJ24" t="s">
        <v>69</v>
      </c>
      <c r="AK24" t="s">
        <v>69</v>
      </c>
      <c r="AL24" t="s">
        <v>152</v>
      </c>
      <c r="AM24" t="s">
        <v>69</v>
      </c>
      <c r="AN24">
        <v>181.191</v>
      </c>
      <c r="AO24" t="s">
        <v>69</v>
      </c>
      <c r="AP24" t="s">
        <v>69</v>
      </c>
      <c r="AQ24">
        <v>342</v>
      </c>
      <c r="AR24" t="s">
        <v>72</v>
      </c>
      <c r="AS24" t="s">
        <v>69</v>
      </c>
      <c r="AT24" t="s">
        <v>71</v>
      </c>
      <c r="AU24" t="s">
        <v>69</v>
      </c>
      <c r="AV24">
        <v>131.17500000000001</v>
      </c>
      <c r="AW24" t="s">
        <v>69</v>
      </c>
      <c r="AX24" t="s">
        <v>69</v>
      </c>
      <c r="AY24">
        <v>343</v>
      </c>
      <c r="AZ24" t="s">
        <v>72</v>
      </c>
      <c r="BA24" t="s">
        <v>69</v>
      </c>
      <c r="BB24" t="s">
        <v>71</v>
      </c>
      <c r="BC24" t="s">
        <v>69</v>
      </c>
      <c r="BD24">
        <v>131.17500000000001</v>
      </c>
      <c r="BE24" t="s">
        <v>69</v>
      </c>
      <c r="BF24" t="s">
        <v>69</v>
      </c>
      <c r="BG24">
        <v>377</v>
      </c>
      <c r="BH24" t="s">
        <v>155</v>
      </c>
      <c r="BI24" t="s">
        <v>69</v>
      </c>
      <c r="BJ24" t="s">
        <v>150</v>
      </c>
      <c r="BK24" t="s">
        <v>69</v>
      </c>
      <c r="BL24">
        <v>105.093</v>
      </c>
      <c r="BM24" t="s">
        <v>69</v>
      </c>
      <c r="BN24" t="s">
        <v>69</v>
      </c>
      <c r="BO24">
        <v>380</v>
      </c>
      <c r="BP24" t="s">
        <v>116</v>
      </c>
      <c r="BQ24" t="s">
        <v>69</v>
      </c>
      <c r="BR24" t="s">
        <v>117</v>
      </c>
      <c r="BS24" t="s">
        <v>69</v>
      </c>
      <c r="BT24">
        <v>149.208</v>
      </c>
      <c r="BU24" t="s">
        <v>69</v>
      </c>
      <c r="BV24" t="s">
        <v>69</v>
      </c>
      <c r="BW24">
        <v>411</v>
      </c>
      <c r="BX24" t="s">
        <v>147</v>
      </c>
      <c r="BY24" t="s">
        <v>69</v>
      </c>
      <c r="BZ24" t="s">
        <v>148</v>
      </c>
      <c r="CA24" t="s">
        <v>69</v>
      </c>
      <c r="CB24">
        <v>146.14599999999999</v>
      </c>
      <c r="CC24" t="s">
        <v>69</v>
      </c>
      <c r="CD24" t="s">
        <v>69</v>
      </c>
      <c r="CE24">
        <v>412</v>
      </c>
      <c r="CF24" t="s">
        <v>72</v>
      </c>
      <c r="CG24" t="s">
        <v>69</v>
      </c>
      <c r="CH24" t="s">
        <v>71</v>
      </c>
      <c r="CI24" t="s">
        <v>69</v>
      </c>
      <c r="CJ24">
        <v>131.17500000000001</v>
      </c>
      <c r="CK24" t="s">
        <v>69</v>
      </c>
      <c r="CL24" t="s">
        <v>69</v>
      </c>
      <c r="CM24">
        <v>414</v>
      </c>
      <c r="CN24" t="s">
        <v>145</v>
      </c>
      <c r="CO24" t="s">
        <v>69</v>
      </c>
      <c r="CP24" t="s">
        <v>71</v>
      </c>
      <c r="CQ24" t="s">
        <v>69</v>
      </c>
      <c r="CR24">
        <v>131.17500000000001</v>
      </c>
      <c r="CS24" t="s">
        <v>69</v>
      </c>
      <c r="CT24" t="s">
        <v>69</v>
      </c>
      <c r="CU24">
        <v>416</v>
      </c>
      <c r="CV24" t="s">
        <v>72</v>
      </c>
      <c r="CW24" t="s">
        <v>69</v>
      </c>
      <c r="CX24" t="s">
        <v>71</v>
      </c>
      <c r="CY24" t="s">
        <v>69</v>
      </c>
      <c r="CZ24">
        <v>131.17500000000001</v>
      </c>
      <c r="DA24" t="s">
        <v>69</v>
      </c>
      <c r="DB24" t="s">
        <v>69</v>
      </c>
      <c r="DC24">
        <v>445</v>
      </c>
      <c r="DD24" t="s">
        <v>151</v>
      </c>
      <c r="DE24" t="s">
        <v>69</v>
      </c>
      <c r="DF24" t="s">
        <v>152</v>
      </c>
      <c r="DG24" t="s">
        <v>69</v>
      </c>
      <c r="DH24">
        <v>165.19200000000001</v>
      </c>
      <c r="DI24" t="s">
        <v>69</v>
      </c>
      <c r="DJ24" t="s">
        <v>69</v>
      </c>
      <c r="DK24">
        <v>482</v>
      </c>
      <c r="DL24" t="s">
        <v>73</v>
      </c>
      <c r="DM24" t="s">
        <v>69</v>
      </c>
      <c r="DN24" t="s">
        <v>71</v>
      </c>
      <c r="DO24" t="s">
        <v>69</v>
      </c>
      <c r="DP24">
        <v>89.093999999999994</v>
      </c>
      <c r="DQ24" t="s">
        <v>69</v>
      </c>
      <c r="DR24" t="s">
        <v>69</v>
      </c>
      <c r="DS24">
        <v>483</v>
      </c>
      <c r="DT24" t="s">
        <v>72</v>
      </c>
      <c r="DU24" t="s">
        <v>69</v>
      </c>
      <c r="DV24" t="s">
        <v>71</v>
      </c>
      <c r="DW24" t="s">
        <v>69</v>
      </c>
      <c r="DX24">
        <v>131.17500000000001</v>
      </c>
      <c r="DY24" t="s">
        <v>69</v>
      </c>
      <c r="DZ24" t="s">
        <v>69</v>
      </c>
      <c r="EA24">
        <v>513</v>
      </c>
      <c r="EB24" t="s">
        <v>149</v>
      </c>
      <c r="EC24" t="s">
        <v>69</v>
      </c>
      <c r="ED24" t="s">
        <v>150</v>
      </c>
      <c r="EE24" t="s">
        <v>69</v>
      </c>
      <c r="EF24">
        <v>119.119</v>
      </c>
      <c r="EG24" t="s">
        <v>69</v>
      </c>
      <c r="EH24" t="s">
        <v>69</v>
      </c>
      <c r="EI24">
        <v>517</v>
      </c>
      <c r="EJ24" t="s">
        <v>157</v>
      </c>
      <c r="EK24" t="s">
        <v>69</v>
      </c>
      <c r="EL24" t="s">
        <v>75</v>
      </c>
      <c r="EM24" t="s">
        <v>69</v>
      </c>
      <c r="EN24">
        <v>155.15600000000001</v>
      </c>
      <c r="EO24" t="s">
        <v>69</v>
      </c>
      <c r="EP24" t="s">
        <v>69</v>
      </c>
      <c r="EQ24">
        <v>520</v>
      </c>
      <c r="ER24" t="s">
        <v>72</v>
      </c>
      <c r="ES24" t="s">
        <v>69</v>
      </c>
      <c r="ET24" t="s">
        <v>71</v>
      </c>
      <c r="EU24" t="s">
        <v>69</v>
      </c>
      <c r="EV24">
        <v>131.17500000000001</v>
      </c>
      <c r="EW24" t="s">
        <v>69</v>
      </c>
      <c r="EX24" t="s">
        <v>69</v>
      </c>
      <c r="EY24">
        <v>523</v>
      </c>
      <c r="EZ24" t="s">
        <v>72</v>
      </c>
      <c r="FA24" t="s">
        <v>69</v>
      </c>
      <c r="FB24" t="s">
        <v>71</v>
      </c>
      <c r="FC24" t="s">
        <v>69</v>
      </c>
      <c r="FD24">
        <v>131.17500000000001</v>
      </c>
      <c r="FE24" t="s">
        <v>69</v>
      </c>
      <c r="FF24" t="s">
        <v>69</v>
      </c>
      <c r="FG24">
        <v>524</v>
      </c>
      <c r="FH24" t="s">
        <v>147</v>
      </c>
      <c r="FI24" t="s">
        <v>69</v>
      </c>
      <c r="FJ24" t="s">
        <v>148</v>
      </c>
      <c r="FK24" t="s">
        <v>69</v>
      </c>
      <c r="FL24">
        <v>146.14599999999999</v>
      </c>
      <c r="FM24" t="s">
        <v>69</v>
      </c>
      <c r="FN24" t="s">
        <v>69</v>
      </c>
      <c r="FO24">
        <v>548</v>
      </c>
      <c r="FP24" t="s">
        <v>151</v>
      </c>
      <c r="FQ24" t="s">
        <v>69</v>
      </c>
      <c r="FR24" t="s">
        <v>152</v>
      </c>
      <c r="FS24" t="s">
        <v>69</v>
      </c>
      <c r="FT24">
        <v>165.19200000000001</v>
      </c>
      <c r="FU24" t="s">
        <v>69</v>
      </c>
      <c r="FV24" t="s">
        <v>69</v>
      </c>
      <c r="FW24">
        <v>551</v>
      </c>
      <c r="FX24" t="s">
        <v>119</v>
      </c>
      <c r="FY24" t="s">
        <v>69</v>
      </c>
      <c r="FZ24" t="s">
        <v>120</v>
      </c>
      <c r="GA24" t="s">
        <v>69</v>
      </c>
      <c r="GB24">
        <v>147.131</v>
      </c>
      <c r="GC24" t="s">
        <v>69</v>
      </c>
      <c r="GD24" t="s">
        <v>69</v>
      </c>
      <c r="GE24">
        <v>552</v>
      </c>
      <c r="GF24" t="s">
        <v>149</v>
      </c>
      <c r="GG24" t="s">
        <v>69</v>
      </c>
      <c r="GH24" t="s">
        <v>150</v>
      </c>
      <c r="GI24" t="s">
        <v>69</v>
      </c>
      <c r="GJ24">
        <v>119.119</v>
      </c>
      <c r="GK24" t="s">
        <v>69</v>
      </c>
      <c r="GL24" t="s">
        <v>69</v>
      </c>
      <c r="GM24">
        <v>555</v>
      </c>
      <c r="GN24" t="s">
        <v>149</v>
      </c>
      <c r="GO24" t="s">
        <v>69</v>
      </c>
      <c r="GP24" t="s">
        <v>150</v>
      </c>
      <c r="GQ24" t="s">
        <v>69</v>
      </c>
      <c r="GR24">
        <v>119.119</v>
      </c>
      <c r="GS24" t="s">
        <v>69</v>
      </c>
      <c r="GT24" t="s">
        <v>69</v>
      </c>
      <c r="GU24">
        <v>559</v>
      </c>
      <c r="GV24" t="s">
        <v>147</v>
      </c>
      <c r="GW24" t="s">
        <v>69</v>
      </c>
      <c r="GX24" t="s">
        <v>148</v>
      </c>
      <c r="GY24" t="s">
        <v>69</v>
      </c>
      <c r="GZ24">
        <v>146.14599999999999</v>
      </c>
      <c r="HA24" t="s">
        <v>69</v>
      </c>
      <c r="HB24" t="s">
        <v>69</v>
      </c>
      <c r="HC24">
        <v>561</v>
      </c>
      <c r="HD24" t="s">
        <v>70</v>
      </c>
      <c r="HE24" t="s">
        <v>69</v>
      </c>
      <c r="HF24" t="s">
        <v>71</v>
      </c>
      <c r="HG24" t="s">
        <v>69</v>
      </c>
      <c r="HH24">
        <v>75.066999999999993</v>
      </c>
      <c r="HI24" t="s">
        <v>69</v>
      </c>
      <c r="HJ24" t="s">
        <v>69</v>
      </c>
      <c r="HK24">
        <v>563</v>
      </c>
      <c r="HL24" t="s">
        <v>116</v>
      </c>
      <c r="HM24" t="s">
        <v>69</v>
      </c>
      <c r="HN24" t="s">
        <v>117</v>
      </c>
      <c r="HO24" t="s">
        <v>69</v>
      </c>
      <c r="HP24">
        <v>149.208</v>
      </c>
      <c r="HQ24" t="s">
        <v>69</v>
      </c>
      <c r="HR24" t="s">
        <v>69</v>
      </c>
      <c r="HS24">
        <v>581</v>
      </c>
      <c r="HT24" t="s">
        <v>149</v>
      </c>
      <c r="HU24" t="s">
        <v>153</v>
      </c>
      <c r="HV24" t="s">
        <v>150</v>
      </c>
      <c r="HW24" t="s">
        <v>153</v>
      </c>
      <c r="HX24">
        <v>119.119</v>
      </c>
      <c r="HY24" t="s">
        <v>153</v>
      </c>
      <c r="HZ24" t="s">
        <v>153</v>
      </c>
      <c r="IA24">
        <v>585</v>
      </c>
      <c r="IB24" t="s">
        <v>157</v>
      </c>
      <c r="IC24" t="s">
        <v>69</v>
      </c>
      <c r="ID24" t="s">
        <v>75</v>
      </c>
      <c r="IE24" t="s">
        <v>69</v>
      </c>
      <c r="IF24">
        <v>155.15600000000001</v>
      </c>
      <c r="IG24" t="s">
        <v>69</v>
      </c>
      <c r="IH24" t="s">
        <v>69</v>
      </c>
      <c r="II24">
        <v>589</v>
      </c>
      <c r="IJ24" t="s">
        <v>72</v>
      </c>
      <c r="IK24" t="s">
        <v>69</v>
      </c>
      <c r="IL24" t="s">
        <v>71</v>
      </c>
      <c r="IM24" t="s">
        <v>69</v>
      </c>
      <c r="IN24">
        <v>131.17500000000001</v>
      </c>
      <c r="IO24" t="s">
        <v>69</v>
      </c>
      <c r="IP24" t="s">
        <v>69</v>
      </c>
      <c r="IQ24">
        <v>592</v>
      </c>
      <c r="IR24" t="s">
        <v>73</v>
      </c>
      <c r="IS24" t="s">
        <v>69</v>
      </c>
      <c r="IT24" t="s">
        <v>71</v>
      </c>
      <c r="IU24" t="s">
        <v>69</v>
      </c>
      <c r="IV24">
        <v>89.093999999999994</v>
      </c>
      <c r="IW24" t="s">
        <v>69</v>
      </c>
      <c r="IX24" t="s">
        <v>69</v>
      </c>
      <c r="IY24">
        <v>593</v>
      </c>
      <c r="IZ24" t="s">
        <v>73</v>
      </c>
      <c r="JA24" t="s">
        <v>69</v>
      </c>
      <c r="JB24" t="s">
        <v>71</v>
      </c>
      <c r="JC24" t="s">
        <v>69</v>
      </c>
      <c r="JD24">
        <v>89.093999999999994</v>
      </c>
      <c r="JE24" t="s">
        <v>69</v>
      </c>
      <c r="JF24" t="s">
        <v>69</v>
      </c>
      <c r="JG24">
        <v>600</v>
      </c>
      <c r="JH24" t="s">
        <v>73</v>
      </c>
      <c r="JI24" t="s">
        <v>69</v>
      </c>
      <c r="JJ24" t="s">
        <v>71</v>
      </c>
      <c r="JK24" t="s">
        <v>69</v>
      </c>
      <c r="JL24">
        <v>89.093999999999994</v>
      </c>
      <c r="JM24" t="s">
        <v>69</v>
      </c>
      <c r="JN24" t="s">
        <v>69</v>
      </c>
    </row>
    <row r="25" spans="1:274" x14ac:dyDescent="0.25">
      <c r="A25">
        <v>7</v>
      </c>
      <c r="B25" t="str">
        <f>HYPERLINK("http://www.ncbi.nlm.nih.gov/protein/NP_001068796.1","NP_001068796.1")</f>
        <v>NP_001068796.1</v>
      </c>
      <c r="C25">
        <v>136186</v>
      </c>
      <c r="D25" t="str">
        <f>HYPERLINK("http://www.ncbi.nlm.nih.gov/Taxonomy/Browser/wwwtax.cgi?mode=Info&amp;id=9913&amp;lvl=3&amp;lin=f&amp;keep=1&amp;srchmode=1&amp;unlock","9913")</f>
        <v>9913</v>
      </c>
      <c r="E25" t="s">
        <v>66</v>
      </c>
      <c r="F25" t="str">
        <f>HYPERLINK("http://www.ncbi.nlm.nih.gov/Taxonomy/Browser/wwwtax.cgi?mode=Info&amp;id=9913&amp;lvl=3&amp;lin=f&amp;keep=1&amp;srchmode=1&amp;unlock","Bos taurus")</f>
        <v>Bos taurus</v>
      </c>
      <c r="G25" t="s">
        <v>82</v>
      </c>
      <c r="H25" t="str">
        <f>HYPERLINK("http://www.ncbi.nlm.nih.gov/protein/NP_001068796.1","mitochondrial import receptor subunit TOM70")</f>
        <v>mitochondrial import receptor subunit TOM70</v>
      </c>
      <c r="I25" t="s">
        <v>270</v>
      </c>
      <c r="J25" t="s">
        <v>69</v>
      </c>
      <c r="K25">
        <v>216</v>
      </c>
      <c r="L25" t="s">
        <v>145</v>
      </c>
      <c r="M25" t="s">
        <v>69</v>
      </c>
      <c r="N25" t="s">
        <v>71</v>
      </c>
      <c r="O25" t="s">
        <v>69</v>
      </c>
      <c r="P25">
        <v>131.17500000000001</v>
      </c>
      <c r="Q25" t="s">
        <v>69</v>
      </c>
      <c r="R25" t="s">
        <v>69</v>
      </c>
      <c r="S25">
        <v>257</v>
      </c>
      <c r="T25" t="s">
        <v>151</v>
      </c>
      <c r="U25" t="s">
        <v>69</v>
      </c>
      <c r="V25" t="s">
        <v>152</v>
      </c>
      <c r="W25" t="s">
        <v>69</v>
      </c>
      <c r="X25">
        <v>165.19200000000001</v>
      </c>
      <c r="Y25" t="s">
        <v>69</v>
      </c>
      <c r="Z25" t="s">
        <v>69</v>
      </c>
      <c r="AA25">
        <v>260</v>
      </c>
      <c r="AB25" t="s">
        <v>155</v>
      </c>
      <c r="AC25" t="s">
        <v>69</v>
      </c>
      <c r="AD25" t="s">
        <v>150</v>
      </c>
      <c r="AE25" t="s">
        <v>69</v>
      </c>
      <c r="AF25">
        <v>105.093</v>
      </c>
      <c r="AG25" t="s">
        <v>69</v>
      </c>
      <c r="AH25" t="s">
        <v>69</v>
      </c>
      <c r="AI25">
        <v>261</v>
      </c>
      <c r="AJ25" t="s">
        <v>69</v>
      </c>
      <c r="AK25" t="s">
        <v>69</v>
      </c>
      <c r="AL25" t="s">
        <v>152</v>
      </c>
      <c r="AM25" t="s">
        <v>69</v>
      </c>
      <c r="AN25">
        <v>181.191</v>
      </c>
      <c r="AO25" t="s">
        <v>69</v>
      </c>
      <c r="AP25" t="s">
        <v>69</v>
      </c>
      <c r="AQ25">
        <v>341</v>
      </c>
      <c r="AR25" t="s">
        <v>72</v>
      </c>
      <c r="AS25" t="s">
        <v>69</v>
      </c>
      <c r="AT25" t="s">
        <v>71</v>
      </c>
      <c r="AU25" t="s">
        <v>69</v>
      </c>
      <c r="AV25">
        <v>131.17500000000001</v>
      </c>
      <c r="AW25" t="s">
        <v>69</v>
      </c>
      <c r="AX25" t="s">
        <v>69</v>
      </c>
      <c r="AY25">
        <v>342</v>
      </c>
      <c r="AZ25" t="s">
        <v>72</v>
      </c>
      <c r="BA25" t="s">
        <v>69</v>
      </c>
      <c r="BB25" t="s">
        <v>71</v>
      </c>
      <c r="BC25" t="s">
        <v>69</v>
      </c>
      <c r="BD25">
        <v>131.17500000000001</v>
      </c>
      <c r="BE25" t="s">
        <v>69</v>
      </c>
      <c r="BF25" t="s">
        <v>69</v>
      </c>
      <c r="BG25">
        <v>376</v>
      </c>
      <c r="BH25" t="s">
        <v>155</v>
      </c>
      <c r="BI25" t="s">
        <v>69</v>
      </c>
      <c r="BJ25" t="s">
        <v>150</v>
      </c>
      <c r="BK25" t="s">
        <v>69</v>
      </c>
      <c r="BL25">
        <v>105.093</v>
      </c>
      <c r="BM25" t="s">
        <v>69</v>
      </c>
      <c r="BN25" t="s">
        <v>69</v>
      </c>
      <c r="BO25">
        <v>379</v>
      </c>
      <c r="BP25" t="s">
        <v>116</v>
      </c>
      <c r="BQ25" t="s">
        <v>69</v>
      </c>
      <c r="BR25" t="s">
        <v>117</v>
      </c>
      <c r="BS25" t="s">
        <v>69</v>
      </c>
      <c r="BT25">
        <v>149.208</v>
      </c>
      <c r="BU25" t="s">
        <v>69</v>
      </c>
      <c r="BV25" t="s">
        <v>69</v>
      </c>
      <c r="BW25">
        <v>410</v>
      </c>
      <c r="BX25" t="s">
        <v>147</v>
      </c>
      <c r="BY25" t="s">
        <v>69</v>
      </c>
      <c r="BZ25" t="s">
        <v>148</v>
      </c>
      <c r="CA25" t="s">
        <v>69</v>
      </c>
      <c r="CB25">
        <v>146.14599999999999</v>
      </c>
      <c r="CC25" t="s">
        <v>69</v>
      </c>
      <c r="CD25" t="s">
        <v>69</v>
      </c>
      <c r="CE25">
        <v>411</v>
      </c>
      <c r="CF25" t="s">
        <v>72</v>
      </c>
      <c r="CG25" t="s">
        <v>69</v>
      </c>
      <c r="CH25" t="s">
        <v>71</v>
      </c>
      <c r="CI25" t="s">
        <v>69</v>
      </c>
      <c r="CJ25">
        <v>131.17500000000001</v>
      </c>
      <c r="CK25" t="s">
        <v>69</v>
      </c>
      <c r="CL25" t="s">
        <v>69</v>
      </c>
      <c r="CM25">
        <v>413</v>
      </c>
      <c r="CN25" t="s">
        <v>145</v>
      </c>
      <c r="CO25" t="s">
        <v>69</v>
      </c>
      <c r="CP25" t="s">
        <v>71</v>
      </c>
      <c r="CQ25" t="s">
        <v>69</v>
      </c>
      <c r="CR25">
        <v>131.17500000000001</v>
      </c>
      <c r="CS25" t="s">
        <v>69</v>
      </c>
      <c r="CT25" t="s">
        <v>69</v>
      </c>
      <c r="CU25">
        <v>415</v>
      </c>
      <c r="CV25" t="s">
        <v>72</v>
      </c>
      <c r="CW25" t="s">
        <v>69</v>
      </c>
      <c r="CX25" t="s">
        <v>71</v>
      </c>
      <c r="CY25" t="s">
        <v>69</v>
      </c>
      <c r="CZ25">
        <v>131.17500000000001</v>
      </c>
      <c r="DA25" t="s">
        <v>69</v>
      </c>
      <c r="DB25" t="s">
        <v>69</v>
      </c>
      <c r="DC25">
        <v>444</v>
      </c>
      <c r="DD25" t="s">
        <v>151</v>
      </c>
      <c r="DE25" t="s">
        <v>69</v>
      </c>
      <c r="DF25" t="s">
        <v>152</v>
      </c>
      <c r="DG25" t="s">
        <v>69</v>
      </c>
      <c r="DH25">
        <v>165.19200000000001</v>
      </c>
      <c r="DI25" t="s">
        <v>69</v>
      </c>
      <c r="DJ25" t="s">
        <v>69</v>
      </c>
      <c r="DK25">
        <v>481</v>
      </c>
      <c r="DL25" t="s">
        <v>73</v>
      </c>
      <c r="DM25" t="s">
        <v>69</v>
      </c>
      <c r="DN25" t="s">
        <v>71</v>
      </c>
      <c r="DO25" t="s">
        <v>69</v>
      </c>
      <c r="DP25">
        <v>89.093999999999994</v>
      </c>
      <c r="DQ25" t="s">
        <v>69</v>
      </c>
      <c r="DR25" t="s">
        <v>69</v>
      </c>
      <c r="DS25">
        <v>482</v>
      </c>
      <c r="DT25" t="s">
        <v>72</v>
      </c>
      <c r="DU25" t="s">
        <v>69</v>
      </c>
      <c r="DV25" t="s">
        <v>71</v>
      </c>
      <c r="DW25" t="s">
        <v>69</v>
      </c>
      <c r="DX25">
        <v>131.17500000000001</v>
      </c>
      <c r="DY25" t="s">
        <v>69</v>
      </c>
      <c r="DZ25" t="s">
        <v>69</v>
      </c>
      <c r="EA25">
        <v>512</v>
      </c>
      <c r="EB25" t="s">
        <v>149</v>
      </c>
      <c r="EC25" t="s">
        <v>69</v>
      </c>
      <c r="ED25" t="s">
        <v>150</v>
      </c>
      <c r="EE25" t="s">
        <v>69</v>
      </c>
      <c r="EF25">
        <v>119.119</v>
      </c>
      <c r="EG25" t="s">
        <v>69</v>
      </c>
      <c r="EH25" t="s">
        <v>69</v>
      </c>
      <c r="EI25">
        <v>516</v>
      </c>
      <c r="EJ25" t="s">
        <v>157</v>
      </c>
      <c r="EK25" t="s">
        <v>69</v>
      </c>
      <c r="EL25" t="s">
        <v>75</v>
      </c>
      <c r="EM25" t="s">
        <v>69</v>
      </c>
      <c r="EN25">
        <v>155.15600000000001</v>
      </c>
      <c r="EO25" t="s">
        <v>69</v>
      </c>
      <c r="EP25" t="s">
        <v>69</v>
      </c>
      <c r="EQ25">
        <v>519</v>
      </c>
      <c r="ER25" t="s">
        <v>72</v>
      </c>
      <c r="ES25" t="s">
        <v>69</v>
      </c>
      <c r="ET25" t="s">
        <v>71</v>
      </c>
      <c r="EU25" t="s">
        <v>69</v>
      </c>
      <c r="EV25">
        <v>131.17500000000001</v>
      </c>
      <c r="EW25" t="s">
        <v>69</v>
      </c>
      <c r="EX25" t="s">
        <v>69</v>
      </c>
      <c r="EY25">
        <v>522</v>
      </c>
      <c r="EZ25" t="s">
        <v>72</v>
      </c>
      <c r="FA25" t="s">
        <v>69</v>
      </c>
      <c r="FB25" t="s">
        <v>71</v>
      </c>
      <c r="FC25" t="s">
        <v>69</v>
      </c>
      <c r="FD25">
        <v>131.17500000000001</v>
      </c>
      <c r="FE25" t="s">
        <v>69</v>
      </c>
      <c r="FF25" t="s">
        <v>69</v>
      </c>
      <c r="FG25">
        <v>523</v>
      </c>
      <c r="FH25" t="s">
        <v>147</v>
      </c>
      <c r="FI25" t="s">
        <v>69</v>
      </c>
      <c r="FJ25" t="s">
        <v>148</v>
      </c>
      <c r="FK25" t="s">
        <v>69</v>
      </c>
      <c r="FL25">
        <v>146.14599999999999</v>
      </c>
      <c r="FM25" t="s">
        <v>69</v>
      </c>
      <c r="FN25" t="s">
        <v>69</v>
      </c>
      <c r="FO25">
        <v>547</v>
      </c>
      <c r="FP25" t="s">
        <v>151</v>
      </c>
      <c r="FQ25" t="s">
        <v>69</v>
      </c>
      <c r="FR25" t="s">
        <v>152</v>
      </c>
      <c r="FS25" t="s">
        <v>69</v>
      </c>
      <c r="FT25">
        <v>165.19200000000001</v>
      </c>
      <c r="FU25" t="s">
        <v>69</v>
      </c>
      <c r="FV25" t="s">
        <v>69</v>
      </c>
      <c r="FW25">
        <v>550</v>
      </c>
      <c r="FX25" t="s">
        <v>119</v>
      </c>
      <c r="FY25" t="s">
        <v>69</v>
      </c>
      <c r="FZ25" t="s">
        <v>120</v>
      </c>
      <c r="GA25" t="s">
        <v>69</v>
      </c>
      <c r="GB25">
        <v>147.131</v>
      </c>
      <c r="GC25" t="s">
        <v>69</v>
      </c>
      <c r="GD25" t="s">
        <v>69</v>
      </c>
      <c r="GE25">
        <v>551</v>
      </c>
      <c r="GF25" t="s">
        <v>149</v>
      </c>
      <c r="GG25" t="s">
        <v>69</v>
      </c>
      <c r="GH25" t="s">
        <v>150</v>
      </c>
      <c r="GI25" t="s">
        <v>69</v>
      </c>
      <c r="GJ25">
        <v>119.119</v>
      </c>
      <c r="GK25" t="s">
        <v>69</v>
      </c>
      <c r="GL25" t="s">
        <v>69</v>
      </c>
      <c r="GM25">
        <v>554</v>
      </c>
      <c r="GN25" t="s">
        <v>149</v>
      </c>
      <c r="GO25" t="s">
        <v>69</v>
      </c>
      <c r="GP25" t="s">
        <v>150</v>
      </c>
      <c r="GQ25" t="s">
        <v>69</v>
      </c>
      <c r="GR25">
        <v>119.119</v>
      </c>
      <c r="GS25" t="s">
        <v>69</v>
      </c>
      <c r="GT25" t="s">
        <v>69</v>
      </c>
      <c r="GU25">
        <v>558</v>
      </c>
      <c r="GV25" t="s">
        <v>147</v>
      </c>
      <c r="GW25" t="s">
        <v>69</v>
      </c>
      <c r="GX25" t="s">
        <v>148</v>
      </c>
      <c r="GY25" t="s">
        <v>69</v>
      </c>
      <c r="GZ25">
        <v>146.14599999999999</v>
      </c>
      <c r="HA25" t="s">
        <v>69</v>
      </c>
      <c r="HB25" t="s">
        <v>69</v>
      </c>
      <c r="HC25">
        <v>560</v>
      </c>
      <c r="HD25" t="s">
        <v>70</v>
      </c>
      <c r="HE25" t="s">
        <v>69</v>
      </c>
      <c r="HF25" t="s">
        <v>71</v>
      </c>
      <c r="HG25" t="s">
        <v>69</v>
      </c>
      <c r="HH25">
        <v>75.066999999999993</v>
      </c>
      <c r="HI25" t="s">
        <v>69</v>
      </c>
      <c r="HJ25" t="s">
        <v>69</v>
      </c>
      <c r="HK25">
        <v>562</v>
      </c>
      <c r="HL25" t="s">
        <v>116</v>
      </c>
      <c r="HM25" t="s">
        <v>69</v>
      </c>
      <c r="HN25" t="s">
        <v>117</v>
      </c>
      <c r="HO25" t="s">
        <v>69</v>
      </c>
      <c r="HP25">
        <v>149.208</v>
      </c>
      <c r="HQ25" t="s">
        <v>69</v>
      </c>
      <c r="HR25" t="s">
        <v>69</v>
      </c>
      <c r="HS25">
        <v>580</v>
      </c>
      <c r="HT25" t="s">
        <v>116</v>
      </c>
      <c r="HU25" t="s">
        <v>69</v>
      </c>
      <c r="HV25" t="s">
        <v>117</v>
      </c>
      <c r="HW25" t="s">
        <v>69</v>
      </c>
      <c r="HX25">
        <v>149.208</v>
      </c>
      <c r="HY25" t="s">
        <v>69</v>
      </c>
      <c r="HZ25" t="s">
        <v>69</v>
      </c>
      <c r="IA25">
        <v>584</v>
      </c>
      <c r="IB25" t="s">
        <v>157</v>
      </c>
      <c r="IC25" t="s">
        <v>69</v>
      </c>
      <c r="ID25" t="s">
        <v>75</v>
      </c>
      <c r="IE25" t="s">
        <v>69</v>
      </c>
      <c r="IF25">
        <v>155.15600000000001</v>
      </c>
      <c r="IG25" t="s">
        <v>69</v>
      </c>
      <c r="IH25" t="s">
        <v>69</v>
      </c>
      <c r="II25">
        <v>588</v>
      </c>
      <c r="IJ25" t="s">
        <v>72</v>
      </c>
      <c r="IK25" t="s">
        <v>69</v>
      </c>
      <c r="IL25" t="s">
        <v>71</v>
      </c>
      <c r="IM25" t="s">
        <v>69</v>
      </c>
      <c r="IN25">
        <v>131.17500000000001</v>
      </c>
      <c r="IO25" t="s">
        <v>69</v>
      </c>
      <c r="IP25" t="s">
        <v>69</v>
      </c>
      <c r="IQ25">
        <v>591</v>
      </c>
      <c r="IR25" t="s">
        <v>73</v>
      </c>
      <c r="IS25" t="s">
        <v>69</v>
      </c>
      <c r="IT25" t="s">
        <v>71</v>
      </c>
      <c r="IU25" t="s">
        <v>69</v>
      </c>
      <c r="IV25">
        <v>89.093999999999994</v>
      </c>
      <c r="IW25" t="s">
        <v>69</v>
      </c>
      <c r="IX25" t="s">
        <v>69</v>
      </c>
      <c r="IY25">
        <v>592</v>
      </c>
      <c r="IZ25" t="s">
        <v>73</v>
      </c>
      <c r="JA25" t="s">
        <v>69</v>
      </c>
      <c r="JB25" t="s">
        <v>71</v>
      </c>
      <c r="JC25" t="s">
        <v>69</v>
      </c>
      <c r="JD25">
        <v>89.093999999999994</v>
      </c>
      <c r="JE25" t="s">
        <v>69</v>
      </c>
      <c r="JF25" t="s">
        <v>69</v>
      </c>
      <c r="JG25">
        <v>599</v>
      </c>
      <c r="JH25" t="s">
        <v>73</v>
      </c>
      <c r="JI25" t="s">
        <v>69</v>
      </c>
      <c r="JJ25" t="s">
        <v>71</v>
      </c>
      <c r="JK25" t="s">
        <v>69</v>
      </c>
      <c r="JL25">
        <v>89.093999999999994</v>
      </c>
      <c r="JM25" t="s">
        <v>69</v>
      </c>
      <c r="JN25" t="s">
        <v>69</v>
      </c>
    </row>
    <row r="26" spans="1:274" x14ac:dyDescent="0.25">
      <c r="A26">
        <v>7</v>
      </c>
      <c r="B26" t="str">
        <f>HYPERLINK("http://www.ncbi.nlm.nih.gov/protein/XP_020772388.1","XP_020772388.1")</f>
        <v>XP_020772388.1</v>
      </c>
      <c r="C26">
        <v>48218</v>
      </c>
      <c r="D26" t="str">
        <f>HYPERLINK("http://www.ncbi.nlm.nih.gov/Taxonomy/Browser/wwwtax.cgi?mode=Info&amp;id=9880&amp;lvl=3&amp;lin=f&amp;keep=1&amp;srchmode=1&amp;unlock","9880")</f>
        <v>9880</v>
      </c>
      <c r="E26" t="s">
        <v>66</v>
      </c>
      <c r="F26" t="str">
        <f>HYPERLINK("http://www.ncbi.nlm.nih.gov/Taxonomy/Browser/wwwtax.cgi?mode=Info&amp;id=9880&amp;lvl=3&amp;lin=f&amp;keep=1&amp;srchmode=1&amp;unlock","Odocoileus virginianus texanus")</f>
        <v>Odocoileus virginianus texanus</v>
      </c>
      <c r="G26" t="s">
        <v>81</v>
      </c>
      <c r="H26" t="str">
        <f>HYPERLINK("http://www.ncbi.nlm.nih.gov/protein/XP_020772388.1","mitochondrial import receptor subunit TOM70")</f>
        <v>mitochondrial import receptor subunit TOM70</v>
      </c>
      <c r="I26" t="s">
        <v>270</v>
      </c>
      <c r="J26" t="s">
        <v>69</v>
      </c>
      <c r="K26">
        <v>216</v>
      </c>
      <c r="L26" t="s">
        <v>145</v>
      </c>
      <c r="M26" t="s">
        <v>69</v>
      </c>
      <c r="N26" t="s">
        <v>71</v>
      </c>
      <c r="O26" t="s">
        <v>69</v>
      </c>
      <c r="P26">
        <v>131.17500000000001</v>
      </c>
      <c r="Q26" t="s">
        <v>69</v>
      </c>
      <c r="R26" t="s">
        <v>69</v>
      </c>
      <c r="S26">
        <v>257</v>
      </c>
      <c r="T26" t="s">
        <v>151</v>
      </c>
      <c r="U26" t="s">
        <v>69</v>
      </c>
      <c r="V26" t="s">
        <v>152</v>
      </c>
      <c r="W26" t="s">
        <v>69</v>
      </c>
      <c r="X26">
        <v>165.19200000000001</v>
      </c>
      <c r="Y26" t="s">
        <v>69</v>
      </c>
      <c r="Z26" t="s">
        <v>69</v>
      </c>
      <c r="AA26">
        <v>260</v>
      </c>
      <c r="AB26" t="s">
        <v>155</v>
      </c>
      <c r="AC26" t="s">
        <v>69</v>
      </c>
      <c r="AD26" t="s">
        <v>150</v>
      </c>
      <c r="AE26" t="s">
        <v>69</v>
      </c>
      <c r="AF26">
        <v>105.093</v>
      </c>
      <c r="AG26" t="s">
        <v>69</v>
      </c>
      <c r="AH26" t="s">
        <v>69</v>
      </c>
      <c r="AI26">
        <v>261</v>
      </c>
      <c r="AJ26" t="s">
        <v>69</v>
      </c>
      <c r="AK26" t="s">
        <v>69</v>
      </c>
      <c r="AL26" t="s">
        <v>152</v>
      </c>
      <c r="AM26" t="s">
        <v>69</v>
      </c>
      <c r="AN26">
        <v>181.191</v>
      </c>
      <c r="AO26" t="s">
        <v>69</v>
      </c>
      <c r="AP26" t="s">
        <v>69</v>
      </c>
      <c r="AQ26">
        <v>341</v>
      </c>
      <c r="AR26" t="s">
        <v>72</v>
      </c>
      <c r="AS26" t="s">
        <v>69</v>
      </c>
      <c r="AT26" t="s">
        <v>71</v>
      </c>
      <c r="AU26" t="s">
        <v>69</v>
      </c>
      <c r="AV26">
        <v>131.17500000000001</v>
      </c>
      <c r="AW26" t="s">
        <v>69</v>
      </c>
      <c r="AX26" t="s">
        <v>69</v>
      </c>
      <c r="AY26">
        <v>342</v>
      </c>
      <c r="AZ26" t="s">
        <v>72</v>
      </c>
      <c r="BA26" t="s">
        <v>69</v>
      </c>
      <c r="BB26" t="s">
        <v>71</v>
      </c>
      <c r="BC26" t="s">
        <v>69</v>
      </c>
      <c r="BD26">
        <v>131.17500000000001</v>
      </c>
      <c r="BE26" t="s">
        <v>69</v>
      </c>
      <c r="BF26" t="s">
        <v>69</v>
      </c>
      <c r="BG26">
        <v>376</v>
      </c>
      <c r="BH26" t="s">
        <v>155</v>
      </c>
      <c r="BI26" t="s">
        <v>69</v>
      </c>
      <c r="BJ26" t="s">
        <v>150</v>
      </c>
      <c r="BK26" t="s">
        <v>69</v>
      </c>
      <c r="BL26">
        <v>105.093</v>
      </c>
      <c r="BM26" t="s">
        <v>69</v>
      </c>
      <c r="BN26" t="s">
        <v>69</v>
      </c>
      <c r="BO26">
        <v>379</v>
      </c>
      <c r="BP26" t="s">
        <v>116</v>
      </c>
      <c r="BQ26" t="s">
        <v>69</v>
      </c>
      <c r="BR26" t="s">
        <v>117</v>
      </c>
      <c r="BS26" t="s">
        <v>69</v>
      </c>
      <c r="BT26">
        <v>149.208</v>
      </c>
      <c r="BU26" t="s">
        <v>69</v>
      </c>
      <c r="BV26" t="s">
        <v>69</v>
      </c>
      <c r="BW26">
        <v>410</v>
      </c>
      <c r="BX26" t="s">
        <v>147</v>
      </c>
      <c r="BY26" t="s">
        <v>69</v>
      </c>
      <c r="BZ26" t="s">
        <v>148</v>
      </c>
      <c r="CA26" t="s">
        <v>69</v>
      </c>
      <c r="CB26">
        <v>146.14599999999999</v>
      </c>
      <c r="CC26" t="s">
        <v>69</v>
      </c>
      <c r="CD26" t="s">
        <v>69</v>
      </c>
      <c r="CE26">
        <v>411</v>
      </c>
      <c r="CF26" t="s">
        <v>72</v>
      </c>
      <c r="CG26" t="s">
        <v>69</v>
      </c>
      <c r="CH26" t="s">
        <v>71</v>
      </c>
      <c r="CI26" t="s">
        <v>69</v>
      </c>
      <c r="CJ26">
        <v>131.17500000000001</v>
      </c>
      <c r="CK26" t="s">
        <v>69</v>
      </c>
      <c r="CL26" t="s">
        <v>69</v>
      </c>
      <c r="CM26">
        <v>413</v>
      </c>
      <c r="CN26" t="s">
        <v>145</v>
      </c>
      <c r="CO26" t="s">
        <v>69</v>
      </c>
      <c r="CP26" t="s">
        <v>71</v>
      </c>
      <c r="CQ26" t="s">
        <v>69</v>
      </c>
      <c r="CR26">
        <v>131.17500000000001</v>
      </c>
      <c r="CS26" t="s">
        <v>69</v>
      </c>
      <c r="CT26" t="s">
        <v>69</v>
      </c>
      <c r="CU26">
        <v>415</v>
      </c>
      <c r="CV26" t="s">
        <v>72</v>
      </c>
      <c r="CW26" t="s">
        <v>69</v>
      </c>
      <c r="CX26" t="s">
        <v>71</v>
      </c>
      <c r="CY26" t="s">
        <v>69</v>
      </c>
      <c r="CZ26">
        <v>131.17500000000001</v>
      </c>
      <c r="DA26" t="s">
        <v>69</v>
      </c>
      <c r="DB26" t="s">
        <v>69</v>
      </c>
      <c r="DC26">
        <v>444</v>
      </c>
      <c r="DD26" t="s">
        <v>151</v>
      </c>
      <c r="DE26" t="s">
        <v>69</v>
      </c>
      <c r="DF26" t="s">
        <v>152</v>
      </c>
      <c r="DG26" t="s">
        <v>69</v>
      </c>
      <c r="DH26">
        <v>165.19200000000001</v>
      </c>
      <c r="DI26" t="s">
        <v>69</v>
      </c>
      <c r="DJ26" t="s">
        <v>69</v>
      </c>
      <c r="DK26">
        <v>481</v>
      </c>
      <c r="DL26" t="s">
        <v>73</v>
      </c>
      <c r="DM26" t="s">
        <v>69</v>
      </c>
      <c r="DN26" t="s">
        <v>71</v>
      </c>
      <c r="DO26" t="s">
        <v>69</v>
      </c>
      <c r="DP26">
        <v>89.093999999999994</v>
      </c>
      <c r="DQ26" t="s">
        <v>69</v>
      </c>
      <c r="DR26" t="s">
        <v>69</v>
      </c>
      <c r="DS26">
        <v>482</v>
      </c>
      <c r="DT26" t="s">
        <v>72</v>
      </c>
      <c r="DU26" t="s">
        <v>69</v>
      </c>
      <c r="DV26" t="s">
        <v>71</v>
      </c>
      <c r="DW26" t="s">
        <v>69</v>
      </c>
      <c r="DX26">
        <v>131.17500000000001</v>
      </c>
      <c r="DY26" t="s">
        <v>69</v>
      </c>
      <c r="DZ26" t="s">
        <v>69</v>
      </c>
      <c r="EA26">
        <v>512</v>
      </c>
      <c r="EB26" t="s">
        <v>149</v>
      </c>
      <c r="EC26" t="s">
        <v>69</v>
      </c>
      <c r="ED26" t="s">
        <v>150</v>
      </c>
      <c r="EE26" t="s">
        <v>69</v>
      </c>
      <c r="EF26">
        <v>119.119</v>
      </c>
      <c r="EG26" t="s">
        <v>69</v>
      </c>
      <c r="EH26" t="s">
        <v>69</v>
      </c>
      <c r="EI26">
        <v>516</v>
      </c>
      <c r="EJ26" t="s">
        <v>157</v>
      </c>
      <c r="EK26" t="s">
        <v>69</v>
      </c>
      <c r="EL26" t="s">
        <v>75</v>
      </c>
      <c r="EM26" t="s">
        <v>69</v>
      </c>
      <c r="EN26">
        <v>155.15600000000001</v>
      </c>
      <c r="EO26" t="s">
        <v>69</v>
      </c>
      <c r="EP26" t="s">
        <v>69</v>
      </c>
      <c r="EQ26">
        <v>519</v>
      </c>
      <c r="ER26" t="s">
        <v>72</v>
      </c>
      <c r="ES26" t="s">
        <v>69</v>
      </c>
      <c r="ET26" t="s">
        <v>71</v>
      </c>
      <c r="EU26" t="s">
        <v>69</v>
      </c>
      <c r="EV26">
        <v>131.17500000000001</v>
      </c>
      <c r="EW26" t="s">
        <v>69</v>
      </c>
      <c r="EX26" t="s">
        <v>69</v>
      </c>
      <c r="EY26">
        <v>522</v>
      </c>
      <c r="EZ26" t="s">
        <v>72</v>
      </c>
      <c r="FA26" t="s">
        <v>69</v>
      </c>
      <c r="FB26" t="s">
        <v>71</v>
      </c>
      <c r="FC26" t="s">
        <v>69</v>
      </c>
      <c r="FD26">
        <v>131.17500000000001</v>
      </c>
      <c r="FE26" t="s">
        <v>69</v>
      </c>
      <c r="FF26" t="s">
        <v>69</v>
      </c>
      <c r="FG26">
        <v>523</v>
      </c>
      <c r="FH26" t="s">
        <v>147</v>
      </c>
      <c r="FI26" t="s">
        <v>69</v>
      </c>
      <c r="FJ26" t="s">
        <v>148</v>
      </c>
      <c r="FK26" t="s">
        <v>69</v>
      </c>
      <c r="FL26">
        <v>146.14599999999999</v>
      </c>
      <c r="FM26" t="s">
        <v>69</v>
      </c>
      <c r="FN26" t="s">
        <v>69</v>
      </c>
      <c r="FO26">
        <v>547</v>
      </c>
      <c r="FP26" t="s">
        <v>151</v>
      </c>
      <c r="FQ26" t="s">
        <v>69</v>
      </c>
      <c r="FR26" t="s">
        <v>152</v>
      </c>
      <c r="FS26" t="s">
        <v>69</v>
      </c>
      <c r="FT26">
        <v>165.19200000000001</v>
      </c>
      <c r="FU26" t="s">
        <v>69</v>
      </c>
      <c r="FV26" t="s">
        <v>69</v>
      </c>
      <c r="FW26">
        <v>550</v>
      </c>
      <c r="FX26" t="s">
        <v>119</v>
      </c>
      <c r="FY26" t="s">
        <v>69</v>
      </c>
      <c r="FZ26" t="s">
        <v>120</v>
      </c>
      <c r="GA26" t="s">
        <v>69</v>
      </c>
      <c r="GB26">
        <v>147.131</v>
      </c>
      <c r="GC26" t="s">
        <v>69</v>
      </c>
      <c r="GD26" t="s">
        <v>69</v>
      </c>
      <c r="GE26">
        <v>551</v>
      </c>
      <c r="GF26" t="s">
        <v>149</v>
      </c>
      <c r="GG26" t="s">
        <v>69</v>
      </c>
      <c r="GH26" t="s">
        <v>150</v>
      </c>
      <c r="GI26" t="s">
        <v>69</v>
      </c>
      <c r="GJ26">
        <v>119.119</v>
      </c>
      <c r="GK26" t="s">
        <v>69</v>
      </c>
      <c r="GL26" t="s">
        <v>69</v>
      </c>
      <c r="GM26">
        <v>554</v>
      </c>
      <c r="GN26" t="s">
        <v>149</v>
      </c>
      <c r="GO26" t="s">
        <v>69</v>
      </c>
      <c r="GP26" t="s">
        <v>150</v>
      </c>
      <c r="GQ26" t="s">
        <v>69</v>
      </c>
      <c r="GR26">
        <v>119.119</v>
      </c>
      <c r="GS26" t="s">
        <v>69</v>
      </c>
      <c r="GT26" t="s">
        <v>69</v>
      </c>
      <c r="GU26">
        <v>558</v>
      </c>
      <c r="GV26" t="s">
        <v>147</v>
      </c>
      <c r="GW26" t="s">
        <v>69</v>
      </c>
      <c r="GX26" t="s">
        <v>148</v>
      </c>
      <c r="GY26" t="s">
        <v>69</v>
      </c>
      <c r="GZ26">
        <v>146.14599999999999</v>
      </c>
      <c r="HA26" t="s">
        <v>69</v>
      </c>
      <c r="HB26" t="s">
        <v>69</v>
      </c>
      <c r="HC26">
        <v>560</v>
      </c>
      <c r="HD26" t="s">
        <v>70</v>
      </c>
      <c r="HE26" t="s">
        <v>69</v>
      </c>
      <c r="HF26" t="s">
        <v>71</v>
      </c>
      <c r="HG26" t="s">
        <v>69</v>
      </c>
      <c r="HH26">
        <v>75.066999999999993</v>
      </c>
      <c r="HI26" t="s">
        <v>69</v>
      </c>
      <c r="HJ26" t="s">
        <v>69</v>
      </c>
      <c r="HK26">
        <v>562</v>
      </c>
      <c r="HL26" t="s">
        <v>116</v>
      </c>
      <c r="HM26" t="s">
        <v>69</v>
      </c>
      <c r="HN26" t="s">
        <v>117</v>
      </c>
      <c r="HO26" t="s">
        <v>69</v>
      </c>
      <c r="HP26">
        <v>149.208</v>
      </c>
      <c r="HQ26" t="s">
        <v>69</v>
      </c>
      <c r="HR26" t="s">
        <v>69</v>
      </c>
      <c r="HS26">
        <v>580</v>
      </c>
      <c r="HT26" t="s">
        <v>116</v>
      </c>
      <c r="HU26" t="s">
        <v>69</v>
      </c>
      <c r="HV26" t="s">
        <v>117</v>
      </c>
      <c r="HW26" t="s">
        <v>69</v>
      </c>
      <c r="HX26">
        <v>149.208</v>
      </c>
      <c r="HY26" t="s">
        <v>69</v>
      </c>
      <c r="HZ26" t="s">
        <v>69</v>
      </c>
      <c r="IA26">
        <v>584</v>
      </c>
      <c r="IB26" t="s">
        <v>157</v>
      </c>
      <c r="IC26" t="s">
        <v>69</v>
      </c>
      <c r="ID26" t="s">
        <v>75</v>
      </c>
      <c r="IE26" t="s">
        <v>69</v>
      </c>
      <c r="IF26">
        <v>155.15600000000001</v>
      </c>
      <c r="IG26" t="s">
        <v>69</v>
      </c>
      <c r="IH26" t="s">
        <v>69</v>
      </c>
      <c r="II26">
        <v>588</v>
      </c>
      <c r="IJ26" t="s">
        <v>72</v>
      </c>
      <c r="IK26" t="s">
        <v>69</v>
      </c>
      <c r="IL26" t="s">
        <v>71</v>
      </c>
      <c r="IM26" t="s">
        <v>69</v>
      </c>
      <c r="IN26">
        <v>131.17500000000001</v>
      </c>
      <c r="IO26" t="s">
        <v>69</v>
      </c>
      <c r="IP26" t="s">
        <v>69</v>
      </c>
      <c r="IQ26">
        <v>591</v>
      </c>
      <c r="IR26" t="s">
        <v>73</v>
      </c>
      <c r="IS26" t="s">
        <v>69</v>
      </c>
      <c r="IT26" t="s">
        <v>71</v>
      </c>
      <c r="IU26" t="s">
        <v>69</v>
      </c>
      <c r="IV26">
        <v>89.093999999999994</v>
      </c>
      <c r="IW26" t="s">
        <v>69</v>
      </c>
      <c r="IX26" t="s">
        <v>69</v>
      </c>
      <c r="IY26">
        <v>592</v>
      </c>
      <c r="IZ26" t="s">
        <v>73</v>
      </c>
      <c r="JA26" t="s">
        <v>69</v>
      </c>
      <c r="JB26" t="s">
        <v>71</v>
      </c>
      <c r="JC26" t="s">
        <v>69</v>
      </c>
      <c r="JD26">
        <v>89.093999999999994</v>
      </c>
      <c r="JE26" t="s">
        <v>69</v>
      </c>
      <c r="JF26" t="s">
        <v>69</v>
      </c>
      <c r="JG26">
        <v>599</v>
      </c>
      <c r="JH26" t="s">
        <v>73</v>
      </c>
      <c r="JI26" t="s">
        <v>69</v>
      </c>
      <c r="JJ26" t="s">
        <v>71</v>
      </c>
      <c r="JK26" t="s">
        <v>69</v>
      </c>
      <c r="JL26">
        <v>89.093999999999994</v>
      </c>
      <c r="JM26" t="s">
        <v>69</v>
      </c>
      <c r="JN26" t="s">
        <v>69</v>
      </c>
    </row>
    <row r="27" spans="1:274" x14ac:dyDescent="0.25">
      <c r="A27">
        <v>7</v>
      </c>
      <c r="B27" t="str">
        <f>HYPERLINK("http://www.ncbi.nlm.nih.gov/protein/XP_006995824.1","XP_006995824.1")</f>
        <v>XP_006995824.1</v>
      </c>
      <c r="C27">
        <v>54287</v>
      </c>
      <c r="D27" t="str">
        <f>HYPERLINK("http://www.ncbi.nlm.nih.gov/Taxonomy/Browser/wwwtax.cgi?mode=Info&amp;id=230844&amp;lvl=3&amp;lin=f&amp;keep=1&amp;srchmode=1&amp;unlock","230844")</f>
        <v>230844</v>
      </c>
      <c r="E27" t="s">
        <v>66</v>
      </c>
      <c r="F27" t="str">
        <f>HYPERLINK("http://www.ncbi.nlm.nih.gov/Taxonomy/Browser/wwwtax.cgi?mode=Info&amp;id=230844&amp;lvl=3&amp;lin=f&amp;keep=1&amp;srchmode=1&amp;unlock","Peromyscus maniculatus bairdii")</f>
        <v>Peromyscus maniculatus bairdii</v>
      </c>
      <c r="G27" t="s">
        <v>88</v>
      </c>
      <c r="H27" t="str">
        <f>HYPERLINK("http://www.ncbi.nlm.nih.gov/protein/XP_006995824.1","mitochondrial import receptor subunit TOM70")</f>
        <v>mitochondrial import receptor subunit TOM70</v>
      </c>
      <c r="I27" t="s">
        <v>270</v>
      </c>
      <c r="J27" t="s">
        <v>69</v>
      </c>
      <c r="K27">
        <v>219</v>
      </c>
      <c r="L27" t="s">
        <v>145</v>
      </c>
      <c r="M27" t="s">
        <v>69</v>
      </c>
      <c r="N27" t="s">
        <v>71</v>
      </c>
      <c r="O27" t="s">
        <v>69</v>
      </c>
      <c r="P27">
        <v>131.17500000000001</v>
      </c>
      <c r="Q27" t="s">
        <v>69</v>
      </c>
      <c r="R27" t="s">
        <v>69</v>
      </c>
      <c r="S27">
        <v>260</v>
      </c>
      <c r="T27" t="s">
        <v>151</v>
      </c>
      <c r="U27" t="s">
        <v>69</v>
      </c>
      <c r="V27" t="s">
        <v>152</v>
      </c>
      <c r="W27" t="s">
        <v>69</v>
      </c>
      <c r="X27">
        <v>165.19200000000001</v>
      </c>
      <c r="Y27" t="s">
        <v>69</v>
      </c>
      <c r="Z27" t="s">
        <v>69</v>
      </c>
      <c r="AA27">
        <v>263</v>
      </c>
      <c r="AB27" t="s">
        <v>155</v>
      </c>
      <c r="AC27" t="s">
        <v>69</v>
      </c>
      <c r="AD27" t="s">
        <v>150</v>
      </c>
      <c r="AE27" t="s">
        <v>69</v>
      </c>
      <c r="AF27">
        <v>105.093</v>
      </c>
      <c r="AG27" t="s">
        <v>69</v>
      </c>
      <c r="AH27" t="s">
        <v>69</v>
      </c>
      <c r="AI27">
        <v>264</v>
      </c>
      <c r="AJ27" t="s">
        <v>69</v>
      </c>
      <c r="AK27" t="s">
        <v>69</v>
      </c>
      <c r="AL27" t="s">
        <v>152</v>
      </c>
      <c r="AM27" t="s">
        <v>69</v>
      </c>
      <c r="AN27">
        <v>181.191</v>
      </c>
      <c r="AO27" t="s">
        <v>69</v>
      </c>
      <c r="AP27" t="s">
        <v>69</v>
      </c>
      <c r="AQ27">
        <v>344</v>
      </c>
      <c r="AR27" t="s">
        <v>72</v>
      </c>
      <c r="AS27" t="s">
        <v>69</v>
      </c>
      <c r="AT27" t="s">
        <v>71</v>
      </c>
      <c r="AU27" t="s">
        <v>69</v>
      </c>
      <c r="AV27">
        <v>131.17500000000001</v>
      </c>
      <c r="AW27" t="s">
        <v>69</v>
      </c>
      <c r="AX27" t="s">
        <v>69</v>
      </c>
      <c r="AY27">
        <v>345</v>
      </c>
      <c r="AZ27" t="s">
        <v>72</v>
      </c>
      <c r="BA27" t="s">
        <v>69</v>
      </c>
      <c r="BB27" t="s">
        <v>71</v>
      </c>
      <c r="BC27" t="s">
        <v>69</v>
      </c>
      <c r="BD27">
        <v>131.17500000000001</v>
      </c>
      <c r="BE27" t="s">
        <v>69</v>
      </c>
      <c r="BF27" t="s">
        <v>69</v>
      </c>
      <c r="BG27">
        <v>379</v>
      </c>
      <c r="BH27" t="s">
        <v>149</v>
      </c>
      <c r="BI27" t="s">
        <v>153</v>
      </c>
      <c r="BJ27" t="s">
        <v>150</v>
      </c>
      <c r="BK27" t="s">
        <v>69</v>
      </c>
      <c r="BL27">
        <v>119.119</v>
      </c>
      <c r="BM27" t="s">
        <v>69</v>
      </c>
      <c r="BN27" t="s">
        <v>69</v>
      </c>
      <c r="BO27">
        <v>382</v>
      </c>
      <c r="BP27" t="s">
        <v>116</v>
      </c>
      <c r="BQ27" t="s">
        <v>69</v>
      </c>
      <c r="BR27" t="s">
        <v>117</v>
      </c>
      <c r="BS27" t="s">
        <v>69</v>
      </c>
      <c r="BT27">
        <v>149.208</v>
      </c>
      <c r="BU27" t="s">
        <v>69</v>
      </c>
      <c r="BV27" t="s">
        <v>69</v>
      </c>
      <c r="BW27">
        <v>413</v>
      </c>
      <c r="BX27" t="s">
        <v>147</v>
      </c>
      <c r="BY27" t="s">
        <v>69</v>
      </c>
      <c r="BZ27" t="s">
        <v>148</v>
      </c>
      <c r="CA27" t="s">
        <v>69</v>
      </c>
      <c r="CB27">
        <v>146.14599999999999</v>
      </c>
      <c r="CC27" t="s">
        <v>69</v>
      </c>
      <c r="CD27" t="s">
        <v>69</v>
      </c>
      <c r="CE27">
        <v>414</v>
      </c>
      <c r="CF27" t="s">
        <v>72</v>
      </c>
      <c r="CG27" t="s">
        <v>69</v>
      </c>
      <c r="CH27" t="s">
        <v>71</v>
      </c>
      <c r="CI27" t="s">
        <v>69</v>
      </c>
      <c r="CJ27">
        <v>131.17500000000001</v>
      </c>
      <c r="CK27" t="s">
        <v>69</v>
      </c>
      <c r="CL27" t="s">
        <v>69</v>
      </c>
      <c r="CM27">
        <v>416</v>
      </c>
      <c r="CN27" t="s">
        <v>145</v>
      </c>
      <c r="CO27" t="s">
        <v>69</v>
      </c>
      <c r="CP27" t="s">
        <v>71</v>
      </c>
      <c r="CQ27" t="s">
        <v>69</v>
      </c>
      <c r="CR27">
        <v>131.17500000000001</v>
      </c>
      <c r="CS27" t="s">
        <v>69</v>
      </c>
      <c r="CT27" t="s">
        <v>69</v>
      </c>
      <c r="CU27">
        <v>418</v>
      </c>
      <c r="CV27" t="s">
        <v>72</v>
      </c>
      <c r="CW27" t="s">
        <v>69</v>
      </c>
      <c r="CX27" t="s">
        <v>71</v>
      </c>
      <c r="CY27" t="s">
        <v>69</v>
      </c>
      <c r="CZ27">
        <v>131.17500000000001</v>
      </c>
      <c r="DA27" t="s">
        <v>69</v>
      </c>
      <c r="DB27" t="s">
        <v>69</v>
      </c>
      <c r="DC27">
        <v>447</v>
      </c>
      <c r="DD27" t="s">
        <v>151</v>
      </c>
      <c r="DE27" t="s">
        <v>69</v>
      </c>
      <c r="DF27" t="s">
        <v>152</v>
      </c>
      <c r="DG27" t="s">
        <v>69</v>
      </c>
      <c r="DH27">
        <v>165.19200000000001</v>
      </c>
      <c r="DI27" t="s">
        <v>69</v>
      </c>
      <c r="DJ27" t="s">
        <v>69</v>
      </c>
      <c r="DK27">
        <v>484</v>
      </c>
      <c r="DL27" t="s">
        <v>73</v>
      </c>
      <c r="DM27" t="s">
        <v>69</v>
      </c>
      <c r="DN27" t="s">
        <v>71</v>
      </c>
      <c r="DO27" t="s">
        <v>69</v>
      </c>
      <c r="DP27">
        <v>89.093999999999994</v>
      </c>
      <c r="DQ27" t="s">
        <v>69</v>
      </c>
      <c r="DR27" t="s">
        <v>69</v>
      </c>
      <c r="DS27">
        <v>485</v>
      </c>
      <c r="DT27" t="s">
        <v>72</v>
      </c>
      <c r="DU27" t="s">
        <v>69</v>
      </c>
      <c r="DV27" t="s">
        <v>71</v>
      </c>
      <c r="DW27" t="s">
        <v>69</v>
      </c>
      <c r="DX27">
        <v>131.17500000000001</v>
      </c>
      <c r="DY27" t="s">
        <v>69</v>
      </c>
      <c r="DZ27" t="s">
        <v>69</v>
      </c>
      <c r="EA27">
        <v>515</v>
      </c>
      <c r="EB27" t="s">
        <v>149</v>
      </c>
      <c r="EC27" t="s">
        <v>69</v>
      </c>
      <c r="ED27" t="s">
        <v>150</v>
      </c>
      <c r="EE27" t="s">
        <v>69</v>
      </c>
      <c r="EF27">
        <v>119.119</v>
      </c>
      <c r="EG27" t="s">
        <v>69</v>
      </c>
      <c r="EH27" t="s">
        <v>69</v>
      </c>
      <c r="EI27">
        <v>519</v>
      </c>
      <c r="EJ27" t="s">
        <v>157</v>
      </c>
      <c r="EK27" t="s">
        <v>69</v>
      </c>
      <c r="EL27" t="s">
        <v>75</v>
      </c>
      <c r="EM27" t="s">
        <v>69</v>
      </c>
      <c r="EN27">
        <v>155.15600000000001</v>
      </c>
      <c r="EO27" t="s">
        <v>69</v>
      </c>
      <c r="EP27" t="s">
        <v>69</v>
      </c>
      <c r="EQ27">
        <v>522</v>
      </c>
      <c r="ER27" t="s">
        <v>72</v>
      </c>
      <c r="ES27" t="s">
        <v>69</v>
      </c>
      <c r="ET27" t="s">
        <v>71</v>
      </c>
      <c r="EU27" t="s">
        <v>69</v>
      </c>
      <c r="EV27">
        <v>131.17500000000001</v>
      </c>
      <c r="EW27" t="s">
        <v>69</v>
      </c>
      <c r="EX27" t="s">
        <v>69</v>
      </c>
      <c r="EY27">
        <v>525</v>
      </c>
      <c r="EZ27" t="s">
        <v>72</v>
      </c>
      <c r="FA27" t="s">
        <v>69</v>
      </c>
      <c r="FB27" t="s">
        <v>71</v>
      </c>
      <c r="FC27" t="s">
        <v>69</v>
      </c>
      <c r="FD27">
        <v>131.17500000000001</v>
      </c>
      <c r="FE27" t="s">
        <v>69</v>
      </c>
      <c r="FF27" t="s">
        <v>69</v>
      </c>
      <c r="FG27">
        <v>526</v>
      </c>
      <c r="FH27" t="s">
        <v>147</v>
      </c>
      <c r="FI27" t="s">
        <v>69</v>
      </c>
      <c r="FJ27" t="s">
        <v>148</v>
      </c>
      <c r="FK27" t="s">
        <v>69</v>
      </c>
      <c r="FL27">
        <v>146.14599999999999</v>
      </c>
      <c r="FM27" t="s">
        <v>69</v>
      </c>
      <c r="FN27" t="s">
        <v>69</v>
      </c>
      <c r="FO27">
        <v>550</v>
      </c>
      <c r="FP27" t="s">
        <v>151</v>
      </c>
      <c r="FQ27" t="s">
        <v>69</v>
      </c>
      <c r="FR27" t="s">
        <v>152</v>
      </c>
      <c r="FS27" t="s">
        <v>69</v>
      </c>
      <c r="FT27">
        <v>165.19200000000001</v>
      </c>
      <c r="FU27" t="s">
        <v>69</v>
      </c>
      <c r="FV27" t="s">
        <v>69</v>
      </c>
      <c r="FW27">
        <v>553</v>
      </c>
      <c r="FX27" t="s">
        <v>119</v>
      </c>
      <c r="FY27" t="s">
        <v>69</v>
      </c>
      <c r="FZ27" t="s">
        <v>120</v>
      </c>
      <c r="GA27" t="s">
        <v>69</v>
      </c>
      <c r="GB27">
        <v>147.131</v>
      </c>
      <c r="GC27" t="s">
        <v>69</v>
      </c>
      <c r="GD27" t="s">
        <v>69</v>
      </c>
      <c r="GE27">
        <v>554</v>
      </c>
      <c r="GF27" t="s">
        <v>149</v>
      </c>
      <c r="GG27" t="s">
        <v>69</v>
      </c>
      <c r="GH27" t="s">
        <v>150</v>
      </c>
      <c r="GI27" t="s">
        <v>69</v>
      </c>
      <c r="GJ27">
        <v>119.119</v>
      </c>
      <c r="GK27" t="s">
        <v>69</v>
      </c>
      <c r="GL27" t="s">
        <v>69</v>
      </c>
      <c r="GM27">
        <v>557</v>
      </c>
      <c r="GN27" t="s">
        <v>149</v>
      </c>
      <c r="GO27" t="s">
        <v>69</v>
      </c>
      <c r="GP27" t="s">
        <v>150</v>
      </c>
      <c r="GQ27" t="s">
        <v>69</v>
      </c>
      <c r="GR27">
        <v>119.119</v>
      </c>
      <c r="GS27" t="s">
        <v>69</v>
      </c>
      <c r="GT27" t="s">
        <v>69</v>
      </c>
      <c r="GU27">
        <v>561</v>
      </c>
      <c r="GV27" t="s">
        <v>147</v>
      </c>
      <c r="GW27" t="s">
        <v>69</v>
      </c>
      <c r="GX27" t="s">
        <v>148</v>
      </c>
      <c r="GY27" t="s">
        <v>69</v>
      </c>
      <c r="GZ27">
        <v>146.14599999999999</v>
      </c>
      <c r="HA27" t="s">
        <v>69</v>
      </c>
      <c r="HB27" t="s">
        <v>69</v>
      </c>
      <c r="HC27">
        <v>563</v>
      </c>
      <c r="HD27" t="s">
        <v>70</v>
      </c>
      <c r="HE27" t="s">
        <v>69</v>
      </c>
      <c r="HF27" t="s">
        <v>71</v>
      </c>
      <c r="HG27" t="s">
        <v>69</v>
      </c>
      <c r="HH27">
        <v>75.066999999999993</v>
      </c>
      <c r="HI27" t="s">
        <v>69</v>
      </c>
      <c r="HJ27" t="s">
        <v>69</v>
      </c>
      <c r="HK27">
        <v>565</v>
      </c>
      <c r="HL27" t="s">
        <v>116</v>
      </c>
      <c r="HM27" t="s">
        <v>69</v>
      </c>
      <c r="HN27" t="s">
        <v>117</v>
      </c>
      <c r="HO27" t="s">
        <v>69</v>
      </c>
      <c r="HP27">
        <v>149.208</v>
      </c>
      <c r="HQ27" t="s">
        <v>69</v>
      </c>
      <c r="HR27" t="s">
        <v>69</v>
      </c>
      <c r="HS27">
        <v>583</v>
      </c>
      <c r="HT27" t="s">
        <v>116</v>
      </c>
      <c r="HU27" t="s">
        <v>69</v>
      </c>
      <c r="HV27" t="s">
        <v>117</v>
      </c>
      <c r="HW27" t="s">
        <v>69</v>
      </c>
      <c r="HX27">
        <v>149.208</v>
      </c>
      <c r="HY27" t="s">
        <v>69</v>
      </c>
      <c r="HZ27" t="s">
        <v>69</v>
      </c>
      <c r="IA27">
        <v>587</v>
      </c>
      <c r="IB27" t="s">
        <v>157</v>
      </c>
      <c r="IC27" t="s">
        <v>69</v>
      </c>
      <c r="ID27" t="s">
        <v>75</v>
      </c>
      <c r="IE27" t="s">
        <v>69</v>
      </c>
      <c r="IF27">
        <v>155.15600000000001</v>
      </c>
      <c r="IG27" t="s">
        <v>69</v>
      </c>
      <c r="IH27" t="s">
        <v>69</v>
      </c>
      <c r="II27">
        <v>591</v>
      </c>
      <c r="IJ27" t="s">
        <v>72</v>
      </c>
      <c r="IK27" t="s">
        <v>69</v>
      </c>
      <c r="IL27" t="s">
        <v>71</v>
      </c>
      <c r="IM27" t="s">
        <v>69</v>
      </c>
      <c r="IN27">
        <v>131.17500000000001</v>
      </c>
      <c r="IO27" t="s">
        <v>69</v>
      </c>
      <c r="IP27" t="s">
        <v>69</v>
      </c>
      <c r="IQ27">
        <v>594</v>
      </c>
      <c r="IR27" t="s">
        <v>73</v>
      </c>
      <c r="IS27" t="s">
        <v>69</v>
      </c>
      <c r="IT27" t="s">
        <v>71</v>
      </c>
      <c r="IU27" t="s">
        <v>69</v>
      </c>
      <c r="IV27">
        <v>89.093999999999994</v>
      </c>
      <c r="IW27" t="s">
        <v>69</v>
      </c>
      <c r="IX27" t="s">
        <v>69</v>
      </c>
      <c r="IY27">
        <v>595</v>
      </c>
      <c r="IZ27" t="s">
        <v>73</v>
      </c>
      <c r="JA27" t="s">
        <v>69</v>
      </c>
      <c r="JB27" t="s">
        <v>71</v>
      </c>
      <c r="JC27" t="s">
        <v>69</v>
      </c>
      <c r="JD27">
        <v>89.093999999999994</v>
      </c>
      <c r="JE27" t="s">
        <v>69</v>
      </c>
      <c r="JF27" t="s">
        <v>69</v>
      </c>
      <c r="JG27">
        <v>602</v>
      </c>
      <c r="JH27" t="s">
        <v>73</v>
      </c>
      <c r="JI27" t="s">
        <v>69</v>
      </c>
      <c r="JJ27" t="s">
        <v>71</v>
      </c>
      <c r="JK27" t="s">
        <v>69</v>
      </c>
      <c r="JL27">
        <v>89.093999999999994</v>
      </c>
      <c r="JM27" t="s">
        <v>69</v>
      </c>
      <c r="JN27" t="s">
        <v>69</v>
      </c>
    </row>
    <row r="28" spans="1:274" x14ac:dyDescent="0.25">
      <c r="A28">
        <v>7</v>
      </c>
      <c r="B28" t="str">
        <f>HYPERLINK("http://www.ncbi.nlm.nih.gov/protein/NP_997684.1","NP_997684.1")</f>
        <v>NP_997684.1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HYPERLINK("http://www.ncbi.nlm.nih.gov/protein/NP_997684.1","mitochondrial import receptor subunit TOM70")</f>
        <v>mitochondrial import receptor subunit TOM70</v>
      </c>
      <c r="I28" t="s">
        <v>270</v>
      </c>
      <c r="J28" t="s">
        <v>69</v>
      </c>
      <c r="K28">
        <v>217</v>
      </c>
      <c r="L28" t="s">
        <v>145</v>
      </c>
      <c r="M28" t="s">
        <v>69</v>
      </c>
      <c r="N28" t="s">
        <v>71</v>
      </c>
      <c r="O28" t="s">
        <v>69</v>
      </c>
      <c r="P28">
        <v>131.17500000000001</v>
      </c>
      <c r="Q28" t="s">
        <v>69</v>
      </c>
      <c r="R28" t="s">
        <v>69</v>
      </c>
      <c r="S28">
        <v>258</v>
      </c>
      <c r="T28" t="s">
        <v>151</v>
      </c>
      <c r="U28" t="s">
        <v>69</v>
      </c>
      <c r="V28" t="s">
        <v>152</v>
      </c>
      <c r="W28" t="s">
        <v>69</v>
      </c>
      <c r="X28">
        <v>165.19200000000001</v>
      </c>
      <c r="Y28" t="s">
        <v>69</v>
      </c>
      <c r="Z28" t="s">
        <v>69</v>
      </c>
      <c r="AA28">
        <v>261</v>
      </c>
      <c r="AB28" t="s">
        <v>155</v>
      </c>
      <c r="AC28" t="s">
        <v>69</v>
      </c>
      <c r="AD28" t="s">
        <v>150</v>
      </c>
      <c r="AE28" t="s">
        <v>69</v>
      </c>
      <c r="AF28">
        <v>105.093</v>
      </c>
      <c r="AG28" t="s">
        <v>69</v>
      </c>
      <c r="AH28" t="s">
        <v>69</v>
      </c>
      <c r="AI28">
        <v>262</v>
      </c>
      <c r="AJ28" t="s">
        <v>69</v>
      </c>
      <c r="AK28" t="s">
        <v>69</v>
      </c>
      <c r="AL28" t="s">
        <v>152</v>
      </c>
      <c r="AM28" t="s">
        <v>69</v>
      </c>
      <c r="AN28">
        <v>181.191</v>
      </c>
      <c r="AO28" t="s">
        <v>69</v>
      </c>
      <c r="AP28" t="s">
        <v>69</v>
      </c>
      <c r="AQ28">
        <v>342</v>
      </c>
      <c r="AR28" t="s">
        <v>72</v>
      </c>
      <c r="AS28" t="s">
        <v>69</v>
      </c>
      <c r="AT28" t="s">
        <v>71</v>
      </c>
      <c r="AU28" t="s">
        <v>69</v>
      </c>
      <c r="AV28">
        <v>131.17500000000001</v>
      </c>
      <c r="AW28" t="s">
        <v>69</v>
      </c>
      <c r="AX28" t="s">
        <v>69</v>
      </c>
      <c r="AY28">
        <v>343</v>
      </c>
      <c r="AZ28" t="s">
        <v>72</v>
      </c>
      <c r="BA28" t="s">
        <v>69</v>
      </c>
      <c r="BB28" t="s">
        <v>71</v>
      </c>
      <c r="BC28" t="s">
        <v>69</v>
      </c>
      <c r="BD28">
        <v>131.17500000000001</v>
      </c>
      <c r="BE28" t="s">
        <v>69</v>
      </c>
      <c r="BF28" t="s">
        <v>69</v>
      </c>
      <c r="BG28">
        <v>377</v>
      </c>
      <c r="BH28" t="s">
        <v>149</v>
      </c>
      <c r="BI28" t="s">
        <v>153</v>
      </c>
      <c r="BJ28" t="s">
        <v>150</v>
      </c>
      <c r="BK28" t="s">
        <v>69</v>
      </c>
      <c r="BL28">
        <v>119.119</v>
      </c>
      <c r="BM28" t="s">
        <v>69</v>
      </c>
      <c r="BN28" t="s">
        <v>69</v>
      </c>
      <c r="BO28">
        <v>380</v>
      </c>
      <c r="BP28" t="s">
        <v>116</v>
      </c>
      <c r="BQ28" t="s">
        <v>69</v>
      </c>
      <c r="BR28" t="s">
        <v>117</v>
      </c>
      <c r="BS28" t="s">
        <v>69</v>
      </c>
      <c r="BT28">
        <v>149.208</v>
      </c>
      <c r="BU28" t="s">
        <v>69</v>
      </c>
      <c r="BV28" t="s">
        <v>69</v>
      </c>
      <c r="BW28">
        <v>411</v>
      </c>
      <c r="BX28" t="s">
        <v>147</v>
      </c>
      <c r="BY28" t="s">
        <v>69</v>
      </c>
      <c r="BZ28" t="s">
        <v>148</v>
      </c>
      <c r="CA28" t="s">
        <v>69</v>
      </c>
      <c r="CB28">
        <v>146.14599999999999</v>
      </c>
      <c r="CC28" t="s">
        <v>69</v>
      </c>
      <c r="CD28" t="s">
        <v>69</v>
      </c>
      <c r="CE28">
        <v>412</v>
      </c>
      <c r="CF28" t="s">
        <v>72</v>
      </c>
      <c r="CG28" t="s">
        <v>69</v>
      </c>
      <c r="CH28" t="s">
        <v>71</v>
      </c>
      <c r="CI28" t="s">
        <v>69</v>
      </c>
      <c r="CJ28">
        <v>131.17500000000001</v>
      </c>
      <c r="CK28" t="s">
        <v>69</v>
      </c>
      <c r="CL28" t="s">
        <v>69</v>
      </c>
      <c r="CM28">
        <v>414</v>
      </c>
      <c r="CN28" t="s">
        <v>145</v>
      </c>
      <c r="CO28" t="s">
        <v>69</v>
      </c>
      <c r="CP28" t="s">
        <v>71</v>
      </c>
      <c r="CQ28" t="s">
        <v>69</v>
      </c>
      <c r="CR28">
        <v>131.17500000000001</v>
      </c>
      <c r="CS28" t="s">
        <v>69</v>
      </c>
      <c r="CT28" t="s">
        <v>69</v>
      </c>
      <c r="CU28">
        <v>416</v>
      </c>
      <c r="CV28" t="s">
        <v>72</v>
      </c>
      <c r="CW28" t="s">
        <v>69</v>
      </c>
      <c r="CX28" t="s">
        <v>71</v>
      </c>
      <c r="CY28" t="s">
        <v>69</v>
      </c>
      <c r="CZ28">
        <v>131.17500000000001</v>
      </c>
      <c r="DA28" t="s">
        <v>69</v>
      </c>
      <c r="DB28" t="s">
        <v>69</v>
      </c>
      <c r="DC28">
        <v>445</v>
      </c>
      <c r="DD28" t="s">
        <v>151</v>
      </c>
      <c r="DE28" t="s">
        <v>69</v>
      </c>
      <c r="DF28" t="s">
        <v>152</v>
      </c>
      <c r="DG28" t="s">
        <v>69</v>
      </c>
      <c r="DH28">
        <v>165.19200000000001</v>
      </c>
      <c r="DI28" t="s">
        <v>69</v>
      </c>
      <c r="DJ28" t="s">
        <v>69</v>
      </c>
      <c r="DK28">
        <v>482</v>
      </c>
      <c r="DL28" t="s">
        <v>73</v>
      </c>
      <c r="DM28" t="s">
        <v>69</v>
      </c>
      <c r="DN28" t="s">
        <v>71</v>
      </c>
      <c r="DO28" t="s">
        <v>69</v>
      </c>
      <c r="DP28">
        <v>89.093999999999994</v>
      </c>
      <c r="DQ28" t="s">
        <v>69</v>
      </c>
      <c r="DR28" t="s">
        <v>69</v>
      </c>
      <c r="DS28">
        <v>483</v>
      </c>
      <c r="DT28" t="s">
        <v>72</v>
      </c>
      <c r="DU28" t="s">
        <v>69</v>
      </c>
      <c r="DV28" t="s">
        <v>71</v>
      </c>
      <c r="DW28" t="s">
        <v>69</v>
      </c>
      <c r="DX28">
        <v>131.17500000000001</v>
      </c>
      <c r="DY28" t="s">
        <v>69</v>
      </c>
      <c r="DZ28" t="s">
        <v>69</v>
      </c>
      <c r="EA28">
        <v>513</v>
      </c>
      <c r="EB28" t="s">
        <v>149</v>
      </c>
      <c r="EC28" t="s">
        <v>69</v>
      </c>
      <c r="ED28" t="s">
        <v>150</v>
      </c>
      <c r="EE28" t="s">
        <v>69</v>
      </c>
      <c r="EF28">
        <v>119.119</v>
      </c>
      <c r="EG28" t="s">
        <v>69</v>
      </c>
      <c r="EH28" t="s">
        <v>69</v>
      </c>
      <c r="EI28">
        <v>517</v>
      </c>
      <c r="EJ28" t="s">
        <v>157</v>
      </c>
      <c r="EK28" t="s">
        <v>69</v>
      </c>
      <c r="EL28" t="s">
        <v>75</v>
      </c>
      <c r="EM28" t="s">
        <v>69</v>
      </c>
      <c r="EN28">
        <v>155.15600000000001</v>
      </c>
      <c r="EO28" t="s">
        <v>69</v>
      </c>
      <c r="EP28" t="s">
        <v>69</v>
      </c>
      <c r="EQ28">
        <v>520</v>
      </c>
      <c r="ER28" t="s">
        <v>72</v>
      </c>
      <c r="ES28" t="s">
        <v>69</v>
      </c>
      <c r="ET28" t="s">
        <v>71</v>
      </c>
      <c r="EU28" t="s">
        <v>69</v>
      </c>
      <c r="EV28">
        <v>131.17500000000001</v>
      </c>
      <c r="EW28" t="s">
        <v>69</v>
      </c>
      <c r="EX28" t="s">
        <v>69</v>
      </c>
      <c r="EY28">
        <v>523</v>
      </c>
      <c r="EZ28" t="s">
        <v>72</v>
      </c>
      <c r="FA28" t="s">
        <v>69</v>
      </c>
      <c r="FB28" t="s">
        <v>71</v>
      </c>
      <c r="FC28" t="s">
        <v>69</v>
      </c>
      <c r="FD28">
        <v>131.17500000000001</v>
      </c>
      <c r="FE28" t="s">
        <v>69</v>
      </c>
      <c r="FF28" t="s">
        <v>69</v>
      </c>
      <c r="FG28">
        <v>524</v>
      </c>
      <c r="FH28" t="s">
        <v>147</v>
      </c>
      <c r="FI28" t="s">
        <v>69</v>
      </c>
      <c r="FJ28" t="s">
        <v>148</v>
      </c>
      <c r="FK28" t="s">
        <v>69</v>
      </c>
      <c r="FL28">
        <v>146.14599999999999</v>
      </c>
      <c r="FM28" t="s">
        <v>69</v>
      </c>
      <c r="FN28" t="s">
        <v>69</v>
      </c>
      <c r="FO28">
        <v>548</v>
      </c>
      <c r="FP28" t="s">
        <v>151</v>
      </c>
      <c r="FQ28" t="s">
        <v>69</v>
      </c>
      <c r="FR28" t="s">
        <v>152</v>
      </c>
      <c r="FS28" t="s">
        <v>69</v>
      </c>
      <c r="FT28">
        <v>165.19200000000001</v>
      </c>
      <c r="FU28" t="s">
        <v>69</v>
      </c>
      <c r="FV28" t="s">
        <v>69</v>
      </c>
      <c r="FW28">
        <v>551</v>
      </c>
      <c r="FX28" t="s">
        <v>119</v>
      </c>
      <c r="FY28" t="s">
        <v>69</v>
      </c>
      <c r="FZ28" t="s">
        <v>120</v>
      </c>
      <c r="GA28" t="s">
        <v>69</v>
      </c>
      <c r="GB28">
        <v>147.131</v>
      </c>
      <c r="GC28" t="s">
        <v>69</v>
      </c>
      <c r="GD28" t="s">
        <v>69</v>
      </c>
      <c r="GE28">
        <v>552</v>
      </c>
      <c r="GF28" t="s">
        <v>149</v>
      </c>
      <c r="GG28" t="s">
        <v>69</v>
      </c>
      <c r="GH28" t="s">
        <v>150</v>
      </c>
      <c r="GI28" t="s">
        <v>69</v>
      </c>
      <c r="GJ28">
        <v>119.119</v>
      </c>
      <c r="GK28" t="s">
        <v>69</v>
      </c>
      <c r="GL28" t="s">
        <v>69</v>
      </c>
      <c r="GM28">
        <v>555</v>
      </c>
      <c r="GN28" t="s">
        <v>149</v>
      </c>
      <c r="GO28" t="s">
        <v>69</v>
      </c>
      <c r="GP28" t="s">
        <v>150</v>
      </c>
      <c r="GQ28" t="s">
        <v>69</v>
      </c>
      <c r="GR28">
        <v>119.119</v>
      </c>
      <c r="GS28" t="s">
        <v>69</v>
      </c>
      <c r="GT28" t="s">
        <v>69</v>
      </c>
      <c r="GU28">
        <v>559</v>
      </c>
      <c r="GV28" t="s">
        <v>147</v>
      </c>
      <c r="GW28" t="s">
        <v>69</v>
      </c>
      <c r="GX28" t="s">
        <v>148</v>
      </c>
      <c r="GY28" t="s">
        <v>69</v>
      </c>
      <c r="GZ28">
        <v>146.14599999999999</v>
      </c>
      <c r="HA28" t="s">
        <v>69</v>
      </c>
      <c r="HB28" t="s">
        <v>69</v>
      </c>
      <c r="HC28">
        <v>561</v>
      </c>
      <c r="HD28" t="s">
        <v>70</v>
      </c>
      <c r="HE28" t="s">
        <v>69</v>
      </c>
      <c r="HF28" t="s">
        <v>71</v>
      </c>
      <c r="HG28" t="s">
        <v>69</v>
      </c>
      <c r="HH28">
        <v>75.066999999999993</v>
      </c>
      <c r="HI28" t="s">
        <v>69</v>
      </c>
      <c r="HJ28" t="s">
        <v>69</v>
      </c>
      <c r="HK28">
        <v>563</v>
      </c>
      <c r="HL28" t="s">
        <v>116</v>
      </c>
      <c r="HM28" t="s">
        <v>69</v>
      </c>
      <c r="HN28" t="s">
        <v>117</v>
      </c>
      <c r="HO28" t="s">
        <v>69</v>
      </c>
      <c r="HP28">
        <v>149.208</v>
      </c>
      <c r="HQ28" t="s">
        <v>69</v>
      </c>
      <c r="HR28" t="s">
        <v>69</v>
      </c>
      <c r="HS28">
        <v>581</v>
      </c>
      <c r="HT28" t="s">
        <v>116</v>
      </c>
      <c r="HU28" t="s">
        <v>69</v>
      </c>
      <c r="HV28" t="s">
        <v>117</v>
      </c>
      <c r="HW28" t="s">
        <v>69</v>
      </c>
      <c r="HX28">
        <v>149.208</v>
      </c>
      <c r="HY28" t="s">
        <v>69</v>
      </c>
      <c r="HZ28" t="s">
        <v>69</v>
      </c>
      <c r="IA28">
        <v>585</v>
      </c>
      <c r="IB28" t="s">
        <v>157</v>
      </c>
      <c r="IC28" t="s">
        <v>69</v>
      </c>
      <c r="ID28" t="s">
        <v>75</v>
      </c>
      <c r="IE28" t="s">
        <v>69</v>
      </c>
      <c r="IF28">
        <v>155.15600000000001</v>
      </c>
      <c r="IG28" t="s">
        <v>69</v>
      </c>
      <c r="IH28" t="s">
        <v>69</v>
      </c>
      <c r="II28">
        <v>589</v>
      </c>
      <c r="IJ28" t="s">
        <v>72</v>
      </c>
      <c r="IK28" t="s">
        <v>69</v>
      </c>
      <c r="IL28" t="s">
        <v>71</v>
      </c>
      <c r="IM28" t="s">
        <v>69</v>
      </c>
      <c r="IN28">
        <v>131.17500000000001</v>
      </c>
      <c r="IO28" t="s">
        <v>69</v>
      </c>
      <c r="IP28" t="s">
        <v>69</v>
      </c>
      <c r="IQ28">
        <v>592</v>
      </c>
      <c r="IR28" t="s">
        <v>73</v>
      </c>
      <c r="IS28" t="s">
        <v>69</v>
      </c>
      <c r="IT28" t="s">
        <v>71</v>
      </c>
      <c r="IU28" t="s">
        <v>69</v>
      </c>
      <c r="IV28">
        <v>89.093999999999994</v>
      </c>
      <c r="IW28" t="s">
        <v>69</v>
      </c>
      <c r="IX28" t="s">
        <v>69</v>
      </c>
      <c r="IY28">
        <v>593</v>
      </c>
      <c r="IZ28" t="s">
        <v>73</v>
      </c>
      <c r="JA28" t="s">
        <v>69</v>
      </c>
      <c r="JB28" t="s">
        <v>71</v>
      </c>
      <c r="JC28" t="s">
        <v>69</v>
      </c>
      <c r="JD28">
        <v>89.093999999999994</v>
      </c>
      <c r="JE28" t="s">
        <v>69</v>
      </c>
      <c r="JF28" t="s">
        <v>69</v>
      </c>
      <c r="JG28">
        <v>600</v>
      </c>
      <c r="JH28" t="s">
        <v>73</v>
      </c>
      <c r="JI28" t="s">
        <v>69</v>
      </c>
      <c r="JJ28" t="s">
        <v>71</v>
      </c>
      <c r="JK28" t="s">
        <v>69</v>
      </c>
      <c r="JL28">
        <v>89.093999999999994</v>
      </c>
      <c r="JM28" t="s">
        <v>69</v>
      </c>
      <c r="JN28" t="s">
        <v>69</v>
      </c>
    </row>
    <row r="29" spans="1:274" x14ac:dyDescent="0.25">
      <c r="A29">
        <v>7</v>
      </c>
      <c r="B29" t="str">
        <f>HYPERLINK("http://www.ncbi.nlm.nih.gov/protein/XP_040606573.1","XP_040606573.1")</f>
        <v>XP_040606573.1</v>
      </c>
      <c r="C29">
        <v>54410</v>
      </c>
      <c r="D29" t="str">
        <f>HYPERLINK("http://www.ncbi.nlm.nih.gov/Taxonomy/Browser/wwwtax.cgi?mode=Info&amp;id=10036&amp;lvl=3&amp;lin=f&amp;keep=1&amp;srchmode=1&amp;unlock","10036")</f>
        <v>10036</v>
      </c>
      <c r="E29" t="s">
        <v>66</v>
      </c>
      <c r="F29" t="str">
        <f>HYPERLINK("http://www.ncbi.nlm.nih.gov/Taxonomy/Browser/wwwtax.cgi?mode=Info&amp;id=10036&amp;lvl=3&amp;lin=f&amp;keep=1&amp;srchmode=1&amp;unlock","Mesocricetus auratus")</f>
        <v>Mesocricetus auratus</v>
      </c>
      <c r="G29" t="s">
        <v>87</v>
      </c>
      <c r="H29" t="str">
        <f>HYPERLINK("http://www.ncbi.nlm.nih.gov/protein/XP_040606573.1","mitochondrial import receptor subunit TOM70")</f>
        <v>mitochondrial import receptor subunit TOM70</v>
      </c>
      <c r="I29" t="s">
        <v>270</v>
      </c>
      <c r="J29" t="s">
        <v>69</v>
      </c>
      <c r="K29">
        <v>218</v>
      </c>
      <c r="L29" t="s">
        <v>145</v>
      </c>
      <c r="M29" t="s">
        <v>69</v>
      </c>
      <c r="N29" t="s">
        <v>71</v>
      </c>
      <c r="O29" t="s">
        <v>69</v>
      </c>
      <c r="P29">
        <v>131.17500000000001</v>
      </c>
      <c r="Q29" t="s">
        <v>69</v>
      </c>
      <c r="R29" t="s">
        <v>69</v>
      </c>
      <c r="S29">
        <v>259</v>
      </c>
      <c r="T29" t="s">
        <v>151</v>
      </c>
      <c r="U29" t="s">
        <v>69</v>
      </c>
      <c r="V29" t="s">
        <v>152</v>
      </c>
      <c r="W29" t="s">
        <v>69</v>
      </c>
      <c r="X29">
        <v>165.19200000000001</v>
      </c>
      <c r="Y29" t="s">
        <v>69</v>
      </c>
      <c r="Z29" t="s">
        <v>69</v>
      </c>
      <c r="AA29">
        <v>262</v>
      </c>
      <c r="AB29" t="s">
        <v>155</v>
      </c>
      <c r="AC29" t="s">
        <v>69</v>
      </c>
      <c r="AD29" t="s">
        <v>150</v>
      </c>
      <c r="AE29" t="s">
        <v>69</v>
      </c>
      <c r="AF29">
        <v>105.093</v>
      </c>
      <c r="AG29" t="s">
        <v>69</v>
      </c>
      <c r="AH29" t="s">
        <v>69</v>
      </c>
      <c r="AI29">
        <v>263</v>
      </c>
      <c r="AJ29" t="s">
        <v>69</v>
      </c>
      <c r="AK29" t="s">
        <v>69</v>
      </c>
      <c r="AL29" t="s">
        <v>152</v>
      </c>
      <c r="AM29" t="s">
        <v>69</v>
      </c>
      <c r="AN29">
        <v>181.191</v>
      </c>
      <c r="AO29" t="s">
        <v>69</v>
      </c>
      <c r="AP29" t="s">
        <v>69</v>
      </c>
      <c r="AQ29">
        <v>343</v>
      </c>
      <c r="AR29" t="s">
        <v>72</v>
      </c>
      <c r="AS29" t="s">
        <v>69</v>
      </c>
      <c r="AT29" t="s">
        <v>71</v>
      </c>
      <c r="AU29" t="s">
        <v>69</v>
      </c>
      <c r="AV29">
        <v>131.17500000000001</v>
      </c>
      <c r="AW29" t="s">
        <v>69</v>
      </c>
      <c r="AX29" t="s">
        <v>69</v>
      </c>
      <c r="AY29">
        <v>344</v>
      </c>
      <c r="AZ29" t="s">
        <v>72</v>
      </c>
      <c r="BA29" t="s">
        <v>69</v>
      </c>
      <c r="BB29" t="s">
        <v>71</v>
      </c>
      <c r="BC29" t="s">
        <v>69</v>
      </c>
      <c r="BD29">
        <v>131.17500000000001</v>
      </c>
      <c r="BE29" t="s">
        <v>69</v>
      </c>
      <c r="BF29" t="s">
        <v>69</v>
      </c>
      <c r="BG29">
        <v>378</v>
      </c>
      <c r="BH29" t="s">
        <v>149</v>
      </c>
      <c r="BI29" t="s">
        <v>153</v>
      </c>
      <c r="BJ29" t="s">
        <v>150</v>
      </c>
      <c r="BK29" t="s">
        <v>69</v>
      </c>
      <c r="BL29">
        <v>119.119</v>
      </c>
      <c r="BM29" t="s">
        <v>69</v>
      </c>
      <c r="BN29" t="s">
        <v>69</v>
      </c>
      <c r="BO29">
        <v>381</v>
      </c>
      <c r="BP29" t="s">
        <v>116</v>
      </c>
      <c r="BQ29" t="s">
        <v>69</v>
      </c>
      <c r="BR29" t="s">
        <v>117</v>
      </c>
      <c r="BS29" t="s">
        <v>69</v>
      </c>
      <c r="BT29">
        <v>149.208</v>
      </c>
      <c r="BU29" t="s">
        <v>69</v>
      </c>
      <c r="BV29" t="s">
        <v>69</v>
      </c>
      <c r="BW29">
        <v>412</v>
      </c>
      <c r="BX29" t="s">
        <v>147</v>
      </c>
      <c r="BY29" t="s">
        <v>69</v>
      </c>
      <c r="BZ29" t="s">
        <v>148</v>
      </c>
      <c r="CA29" t="s">
        <v>69</v>
      </c>
      <c r="CB29">
        <v>146.14599999999999</v>
      </c>
      <c r="CC29" t="s">
        <v>69</v>
      </c>
      <c r="CD29" t="s">
        <v>69</v>
      </c>
      <c r="CE29">
        <v>413</v>
      </c>
      <c r="CF29" t="s">
        <v>72</v>
      </c>
      <c r="CG29" t="s">
        <v>69</v>
      </c>
      <c r="CH29" t="s">
        <v>71</v>
      </c>
      <c r="CI29" t="s">
        <v>69</v>
      </c>
      <c r="CJ29">
        <v>131.17500000000001</v>
      </c>
      <c r="CK29" t="s">
        <v>69</v>
      </c>
      <c r="CL29" t="s">
        <v>69</v>
      </c>
      <c r="CM29">
        <v>415</v>
      </c>
      <c r="CN29" t="s">
        <v>145</v>
      </c>
      <c r="CO29" t="s">
        <v>69</v>
      </c>
      <c r="CP29" t="s">
        <v>71</v>
      </c>
      <c r="CQ29" t="s">
        <v>69</v>
      </c>
      <c r="CR29">
        <v>131.17500000000001</v>
      </c>
      <c r="CS29" t="s">
        <v>69</v>
      </c>
      <c r="CT29" t="s">
        <v>69</v>
      </c>
      <c r="CU29">
        <v>417</v>
      </c>
      <c r="CV29" t="s">
        <v>72</v>
      </c>
      <c r="CW29" t="s">
        <v>69</v>
      </c>
      <c r="CX29" t="s">
        <v>71</v>
      </c>
      <c r="CY29" t="s">
        <v>69</v>
      </c>
      <c r="CZ29">
        <v>131.17500000000001</v>
      </c>
      <c r="DA29" t="s">
        <v>69</v>
      </c>
      <c r="DB29" t="s">
        <v>69</v>
      </c>
      <c r="DC29">
        <v>446</v>
      </c>
      <c r="DD29" t="s">
        <v>151</v>
      </c>
      <c r="DE29" t="s">
        <v>69</v>
      </c>
      <c r="DF29" t="s">
        <v>152</v>
      </c>
      <c r="DG29" t="s">
        <v>69</v>
      </c>
      <c r="DH29">
        <v>165.19200000000001</v>
      </c>
      <c r="DI29" t="s">
        <v>69</v>
      </c>
      <c r="DJ29" t="s">
        <v>69</v>
      </c>
      <c r="DK29">
        <v>483</v>
      </c>
      <c r="DL29" t="s">
        <v>73</v>
      </c>
      <c r="DM29" t="s">
        <v>69</v>
      </c>
      <c r="DN29" t="s">
        <v>71</v>
      </c>
      <c r="DO29" t="s">
        <v>69</v>
      </c>
      <c r="DP29">
        <v>89.093999999999994</v>
      </c>
      <c r="DQ29" t="s">
        <v>69</v>
      </c>
      <c r="DR29" t="s">
        <v>69</v>
      </c>
      <c r="DS29">
        <v>484</v>
      </c>
      <c r="DT29" t="s">
        <v>72</v>
      </c>
      <c r="DU29" t="s">
        <v>69</v>
      </c>
      <c r="DV29" t="s">
        <v>71</v>
      </c>
      <c r="DW29" t="s">
        <v>69</v>
      </c>
      <c r="DX29">
        <v>131.17500000000001</v>
      </c>
      <c r="DY29" t="s">
        <v>69</v>
      </c>
      <c r="DZ29" t="s">
        <v>69</v>
      </c>
      <c r="EA29">
        <v>514</v>
      </c>
      <c r="EB29" t="s">
        <v>149</v>
      </c>
      <c r="EC29" t="s">
        <v>69</v>
      </c>
      <c r="ED29" t="s">
        <v>150</v>
      </c>
      <c r="EE29" t="s">
        <v>69</v>
      </c>
      <c r="EF29">
        <v>119.119</v>
      </c>
      <c r="EG29" t="s">
        <v>69</v>
      </c>
      <c r="EH29" t="s">
        <v>69</v>
      </c>
      <c r="EI29">
        <v>518</v>
      </c>
      <c r="EJ29" t="s">
        <v>157</v>
      </c>
      <c r="EK29" t="s">
        <v>69</v>
      </c>
      <c r="EL29" t="s">
        <v>75</v>
      </c>
      <c r="EM29" t="s">
        <v>69</v>
      </c>
      <c r="EN29">
        <v>155.15600000000001</v>
      </c>
      <c r="EO29" t="s">
        <v>69</v>
      </c>
      <c r="EP29" t="s">
        <v>69</v>
      </c>
      <c r="EQ29">
        <v>521</v>
      </c>
      <c r="ER29" t="s">
        <v>72</v>
      </c>
      <c r="ES29" t="s">
        <v>69</v>
      </c>
      <c r="ET29" t="s">
        <v>71</v>
      </c>
      <c r="EU29" t="s">
        <v>69</v>
      </c>
      <c r="EV29">
        <v>131.17500000000001</v>
      </c>
      <c r="EW29" t="s">
        <v>69</v>
      </c>
      <c r="EX29" t="s">
        <v>69</v>
      </c>
      <c r="EY29">
        <v>524</v>
      </c>
      <c r="EZ29" t="s">
        <v>72</v>
      </c>
      <c r="FA29" t="s">
        <v>69</v>
      </c>
      <c r="FB29" t="s">
        <v>71</v>
      </c>
      <c r="FC29" t="s">
        <v>69</v>
      </c>
      <c r="FD29">
        <v>131.17500000000001</v>
      </c>
      <c r="FE29" t="s">
        <v>69</v>
      </c>
      <c r="FF29" t="s">
        <v>69</v>
      </c>
      <c r="FG29">
        <v>525</v>
      </c>
      <c r="FH29" t="s">
        <v>147</v>
      </c>
      <c r="FI29" t="s">
        <v>69</v>
      </c>
      <c r="FJ29" t="s">
        <v>148</v>
      </c>
      <c r="FK29" t="s">
        <v>69</v>
      </c>
      <c r="FL29">
        <v>146.14599999999999</v>
      </c>
      <c r="FM29" t="s">
        <v>69</v>
      </c>
      <c r="FN29" t="s">
        <v>69</v>
      </c>
      <c r="FO29">
        <v>549</v>
      </c>
      <c r="FP29" t="s">
        <v>151</v>
      </c>
      <c r="FQ29" t="s">
        <v>69</v>
      </c>
      <c r="FR29" t="s">
        <v>152</v>
      </c>
      <c r="FS29" t="s">
        <v>69</v>
      </c>
      <c r="FT29">
        <v>165.19200000000001</v>
      </c>
      <c r="FU29" t="s">
        <v>69</v>
      </c>
      <c r="FV29" t="s">
        <v>69</v>
      </c>
      <c r="FW29">
        <v>552</v>
      </c>
      <c r="FX29" t="s">
        <v>119</v>
      </c>
      <c r="FY29" t="s">
        <v>69</v>
      </c>
      <c r="FZ29" t="s">
        <v>120</v>
      </c>
      <c r="GA29" t="s">
        <v>69</v>
      </c>
      <c r="GB29">
        <v>147.131</v>
      </c>
      <c r="GC29" t="s">
        <v>69</v>
      </c>
      <c r="GD29" t="s">
        <v>69</v>
      </c>
      <c r="GE29">
        <v>553</v>
      </c>
      <c r="GF29" t="s">
        <v>149</v>
      </c>
      <c r="GG29" t="s">
        <v>69</v>
      </c>
      <c r="GH29" t="s">
        <v>150</v>
      </c>
      <c r="GI29" t="s">
        <v>69</v>
      </c>
      <c r="GJ29">
        <v>119.119</v>
      </c>
      <c r="GK29" t="s">
        <v>69</v>
      </c>
      <c r="GL29" t="s">
        <v>69</v>
      </c>
      <c r="GM29">
        <v>556</v>
      </c>
      <c r="GN29" t="s">
        <v>149</v>
      </c>
      <c r="GO29" t="s">
        <v>69</v>
      </c>
      <c r="GP29" t="s">
        <v>150</v>
      </c>
      <c r="GQ29" t="s">
        <v>69</v>
      </c>
      <c r="GR29">
        <v>119.119</v>
      </c>
      <c r="GS29" t="s">
        <v>69</v>
      </c>
      <c r="GT29" t="s">
        <v>69</v>
      </c>
      <c r="GU29">
        <v>560</v>
      </c>
      <c r="GV29" t="s">
        <v>147</v>
      </c>
      <c r="GW29" t="s">
        <v>69</v>
      </c>
      <c r="GX29" t="s">
        <v>148</v>
      </c>
      <c r="GY29" t="s">
        <v>69</v>
      </c>
      <c r="GZ29">
        <v>146.14599999999999</v>
      </c>
      <c r="HA29" t="s">
        <v>69</v>
      </c>
      <c r="HB29" t="s">
        <v>69</v>
      </c>
      <c r="HC29">
        <v>562</v>
      </c>
      <c r="HD29" t="s">
        <v>70</v>
      </c>
      <c r="HE29" t="s">
        <v>69</v>
      </c>
      <c r="HF29" t="s">
        <v>71</v>
      </c>
      <c r="HG29" t="s">
        <v>69</v>
      </c>
      <c r="HH29">
        <v>75.066999999999993</v>
      </c>
      <c r="HI29" t="s">
        <v>69</v>
      </c>
      <c r="HJ29" t="s">
        <v>69</v>
      </c>
      <c r="HK29">
        <v>564</v>
      </c>
      <c r="HL29" t="s">
        <v>116</v>
      </c>
      <c r="HM29" t="s">
        <v>69</v>
      </c>
      <c r="HN29" t="s">
        <v>117</v>
      </c>
      <c r="HO29" t="s">
        <v>69</v>
      </c>
      <c r="HP29">
        <v>149.208</v>
      </c>
      <c r="HQ29" t="s">
        <v>69</v>
      </c>
      <c r="HR29" t="s">
        <v>69</v>
      </c>
      <c r="HS29">
        <v>582</v>
      </c>
      <c r="HT29" t="s">
        <v>116</v>
      </c>
      <c r="HU29" t="s">
        <v>69</v>
      </c>
      <c r="HV29" t="s">
        <v>117</v>
      </c>
      <c r="HW29" t="s">
        <v>69</v>
      </c>
      <c r="HX29">
        <v>149.208</v>
      </c>
      <c r="HY29" t="s">
        <v>69</v>
      </c>
      <c r="HZ29" t="s">
        <v>69</v>
      </c>
      <c r="IA29">
        <v>586</v>
      </c>
      <c r="IB29" t="s">
        <v>157</v>
      </c>
      <c r="IC29" t="s">
        <v>69</v>
      </c>
      <c r="ID29" t="s">
        <v>75</v>
      </c>
      <c r="IE29" t="s">
        <v>69</v>
      </c>
      <c r="IF29">
        <v>155.15600000000001</v>
      </c>
      <c r="IG29" t="s">
        <v>69</v>
      </c>
      <c r="IH29" t="s">
        <v>69</v>
      </c>
      <c r="II29">
        <v>590</v>
      </c>
      <c r="IJ29" t="s">
        <v>72</v>
      </c>
      <c r="IK29" t="s">
        <v>69</v>
      </c>
      <c r="IL29" t="s">
        <v>71</v>
      </c>
      <c r="IM29" t="s">
        <v>69</v>
      </c>
      <c r="IN29">
        <v>131.17500000000001</v>
      </c>
      <c r="IO29" t="s">
        <v>69</v>
      </c>
      <c r="IP29" t="s">
        <v>69</v>
      </c>
      <c r="IQ29">
        <v>593</v>
      </c>
      <c r="IR29" t="s">
        <v>73</v>
      </c>
      <c r="IS29" t="s">
        <v>69</v>
      </c>
      <c r="IT29" t="s">
        <v>71</v>
      </c>
      <c r="IU29" t="s">
        <v>69</v>
      </c>
      <c r="IV29">
        <v>89.093999999999994</v>
      </c>
      <c r="IW29" t="s">
        <v>69</v>
      </c>
      <c r="IX29" t="s">
        <v>69</v>
      </c>
      <c r="IY29">
        <v>594</v>
      </c>
      <c r="IZ29" t="s">
        <v>73</v>
      </c>
      <c r="JA29" t="s">
        <v>69</v>
      </c>
      <c r="JB29" t="s">
        <v>71</v>
      </c>
      <c r="JC29" t="s">
        <v>69</v>
      </c>
      <c r="JD29">
        <v>89.093999999999994</v>
      </c>
      <c r="JE29" t="s">
        <v>69</v>
      </c>
      <c r="JF29" t="s">
        <v>69</v>
      </c>
      <c r="JG29">
        <v>601</v>
      </c>
      <c r="JH29" t="s">
        <v>73</v>
      </c>
      <c r="JI29" t="s">
        <v>69</v>
      </c>
      <c r="JJ29" t="s">
        <v>71</v>
      </c>
      <c r="JK29" t="s">
        <v>69</v>
      </c>
      <c r="JL29">
        <v>89.093999999999994</v>
      </c>
      <c r="JM29" t="s">
        <v>69</v>
      </c>
      <c r="JN29" t="s">
        <v>69</v>
      </c>
    </row>
    <row r="30" spans="1:274" x14ac:dyDescent="0.25">
      <c r="A30">
        <v>7</v>
      </c>
      <c r="B30" t="str">
        <f>HYPERLINK("http://www.ncbi.nlm.nih.gov/protein/NP_001083124.1","NP_001083124.1")</f>
        <v>NP_001083124.1</v>
      </c>
      <c r="C30">
        <v>146185</v>
      </c>
      <c r="D30" t="str">
        <f>HYPERLINK("http://www.ncbi.nlm.nih.gov/Taxonomy/Browser/wwwtax.cgi?mode=Info&amp;id=8355&amp;lvl=3&amp;lin=f&amp;keep=1&amp;srchmode=1&amp;unlock","8355")</f>
        <v>8355</v>
      </c>
      <c r="E30" t="s">
        <v>111</v>
      </c>
      <c r="F30" t="str">
        <f>HYPERLINK("http://www.ncbi.nlm.nih.gov/Taxonomy/Browser/wwwtax.cgi?mode=Info&amp;id=8355&amp;lvl=3&amp;lin=f&amp;keep=1&amp;srchmode=1&amp;unlock","Xenopus laevis")</f>
        <v>Xenopus laevis</v>
      </c>
      <c r="G30" t="s">
        <v>112</v>
      </c>
      <c r="H30" t="str">
        <f>HYPERLINK("http://www.ncbi.nlm.nih.gov/protein/NP_001083124.1","to translocase of outer mitochondrial membrane 70 S homeolog")</f>
        <v>to translocase of outer mitochondrial membrane 70 S homeolog</v>
      </c>
      <c r="I30" t="s">
        <v>270</v>
      </c>
      <c r="J30" t="s">
        <v>69</v>
      </c>
      <c r="K30">
        <v>183</v>
      </c>
      <c r="L30" t="s">
        <v>145</v>
      </c>
      <c r="M30" t="s">
        <v>69</v>
      </c>
      <c r="N30" t="s">
        <v>71</v>
      </c>
      <c r="O30" t="s">
        <v>69</v>
      </c>
      <c r="P30">
        <v>131.17500000000001</v>
      </c>
      <c r="Q30" t="s">
        <v>69</v>
      </c>
      <c r="R30" t="s">
        <v>69</v>
      </c>
      <c r="S30">
        <v>224</v>
      </c>
      <c r="T30" t="s">
        <v>151</v>
      </c>
      <c r="U30" t="s">
        <v>69</v>
      </c>
      <c r="V30" t="s">
        <v>152</v>
      </c>
      <c r="W30" t="s">
        <v>69</v>
      </c>
      <c r="X30">
        <v>165.19200000000001</v>
      </c>
      <c r="Y30" t="s">
        <v>69</v>
      </c>
      <c r="Z30" t="s">
        <v>69</v>
      </c>
      <c r="AA30">
        <v>227</v>
      </c>
      <c r="AB30" t="s">
        <v>155</v>
      </c>
      <c r="AC30" t="s">
        <v>69</v>
      </c>
      <c r="AD30" t="s">
        <v>150</v>
      </c>
      <c r="AE30" t="s">
        <v>69</v>
      </c>
      <c r="AF30">
        <v>105.093</v>
      </c>
      <c r="AG30" t="s">
        <v>69</v>
      </c>
      <c r="AH30" t="s">
        <v>69</v>
      </c>
      <c r="AI30">
        <v>228</v>
      </c>
      <c r="AJ30" t="s">
        <v>69</v>
      </c>
      <c r="AK30" t="s">
        <v>69</v>
      </c>
      <c r="AL30" t="s">
        <v>152</v>
      </c>
      <c r="AM30" t="s">
        <v>69</v>
      </c>
      <c r="AN30">
        <v>181.191</v>
      </c>
      <c r="AO30" t="s">
        <v>69</v>
      </c>
      <c r="AP30" t="s">
        <v>69</v>
      </c>
      <c r="AQ30">
        <v>308</v>
      </c>
      <c r="AR30" t="s">
        <v>72</v>
      </c>
      <c r="AS30" t="s">
        <v>69</v>
      </c>
      <c r="AT30" t="s">
        <v>71</v>
      </c>
      <c r="AU30" t="s">
        <v>69</v>
      </c>
      <c r="AV30">
        <v>131.17500000000001</v>
      </c>
      <c r="AW30" t="s">
        <v>69</v>
      </c>
      <c r="AX30" t="s">
        <v>69</v>
      </c>
      <c r="AY30">
        <v>309</v>
      </c>
      <c r="AZ30" t="s">
        <v>72</v>
      </c>
      <c r="BA30" t="s">
        <v>69</v>
      </c>
      <c r="BB30" t="s">
        <v>71</v>
      </c>
      <c r="BC30" t="s">
        <v>69</v>
      </c>
      <c r="BD30">
        <v>131.17500000000001</v>
      </c>
      <c r="BE30" t="s">
        <v>69</v>
      </c>
      <c r="BF30" t="s">
        <v>69</v>
      </c>
      <c r="BG30">
        <v>343</v>
      </c>
      <c r="BH30" t="s">
        <v>155</v>
      </c>
      <c r="BI30" t="s">
        <v>69</v>
      </c>
      <c r="BJ30" t="s">
        <v>150</v>
      </c>
      <c r="BK30" t="s">
        <v>69</v>
      </c>
      <c r="BL30">
        <v>105.093</v>
      </c>
      <c r="BM30" t="s">
        <v>69</v>
      </c>
      <c r="BN30" t="s">
        <v>69</v>
      </c>
      <c r="BO30">
        <v>346</v>
      </c>
      <c r="BP30" t="s">
        <v>116</v>
      </c>
      <c r="BQ30" t="s">
        <v>69</v>
      </c>
      <c r="BR30" t="s">
        <v>117</v>
      </c>
      <c r="BS30" t="s">
        <v>69</v>
      </c>
      <c r="BT30">
        <v>149.208</v>
      </c>
      <c r="BU30" t="s">
        <v>69</v>
      </c>
      <c r="BV30" t="s">
        <v>69</v>
      </c>
      <c r="BW30">
        <v>377</v>
      </c>
      <c r="BX30" t="s">
        <v>147</v>
      </c>
      <c r="BY30" t="s">
        <v>69</v>
      </c>
      <c r="BZ30" t="s">
        <v>148</v>
      </c>
      <c r="CA30" t="s">
        <v>69</v>
      </c>
      <c r="CB30">
        <v>146.14599999999999</v>
      </c>
      <c r="CC30" t="s">
        <v>69</v>
      </c>
      <c r="CD30" t="s">
        <v>69</v>
      </c>
      <c r="CE30">
        <v>378</v>
      </c>
      <c r="CF30" t="s">
        <v>72</v>
      </c>
      <c r="CG30" t="s">
        <v>69</v>
      </c>
      <c r="CH30" t="s">
        <v>71</v>
      </c>
      <c r="CI30" t="s">
        <v>69</v>
      </c>
      <c r="CJ30">
        <v>131.17500000000001</v>
      </c>
      <c r="CK30" t="s">
        <v>69</v>
      </c>
      <c r="CL30" t="s">
        <v>69</v>
      </c>
      <c r="CM30">
        <v>380</v>
      </c>
      <c r="CN30" t="s">
        <v>145</v>
      </c>
      <c r="CO30" t="s">
        <v>69</v>
      </c>
      <c r="CP30" t="s">
        <v>71</v>
      </c>
      <c r="CQ30" t="s">
        <v>69</v>
      </c>
      <c r="CR30">
        <v>131.17500000000001</v>
      </c>
      <c r="CS30" t="s">
        <v>69</v>
      </c>
      <c r="CT30" t="s">
        <v>69</v>
      </c>
      <c r="CU30">
        <v>382</v>
      </c>
      <c r="CV30" t="s">
        <v>72</v>
      </c>
      <c r="CW30" t="s">
        <v>69</v>
      </c>
      <c r="CX30" t="s">
        <v>71</v>
      </c>
      <c r="CY30" t="s">
        <v>69</v>
      </c>
      <c r="CZ30">
        <v>131.17500000000001</v>
      </c>
      <c r="DA30" t="s">
        <v>69</v>
      </c>
      <c r="DB30" t="s">
        <v>69</v>
      </c>
      <c r="DC30">
        <v>411</v>
      </c>
      <c r="DD30" t="s">
        <v>151</v>
      </c>
      <c r="DE30" t="s">
        <v>69</v>
      </c>
      <c r="DF30" t="s">
        <v>152</v>
      </c>
      <c r="DG30" t="s">
        <v>69</v>
      </c>
      <c r="DH30">
        <v>165.19200000000001</v>
      </c>
      <c r="DI30" t="s">
        <v>69</v>
      </c>
      <c r="DJ30" t="s">
        <v>69</v>
      </c>
      <c r="DK30">
        <v>448</v>
      </c>
      <c r="DL30" t="s">
        <v>73</v>
      </c>
      <c r="DM30" t="s">
        <v>69</v>
      </c>
      <c r="DN30" t="s">
        <v>71</v>
      </c>
      <c r="DO30" t="s">
        <v>69</v>
      </c>
      <c r="DP30">
        <v>89.093999999999994</v>
      </c>
      <c r="DQ30" t="s">
        <v>69</v>
      </c>
      <c r="DR30" t="s">
        <v>69</v>
      </c>
      <c r="DS30">
        <v>449</v>
      </c>
      <c r="DT30" t="s">
        <v>72</v>
      </c>
      <c r="DU30" t="s">
        <v>69</v>
      </c>
      <c r="DV30" t="s">
        <v>71</v>
      </c>
      <c r="DW30" t="s">
        <v>69</v>
      </c>
      <c r="DX30">
        <v>131.17500000000001</v>
      </c>
      <c r="DY30" t="s">
        <v>69</v>
      </c>
      <c r="DZ30" t="s">
        <v>69</v>
      </c>
      <c r="EA30">
        <v>479</v>
      </c>
      <c r="EB30" t="s">
        <v>149</v>
      </c>
      <c r="EC30" t="s">
        <v>69</v>
      </c>
      <c r="ED30" t="s">
        <v>150</v>
      </c>
      <c r="EE30" t="s">
        <v>69</v>
      </c>
      <c r="EF30">
        <v>119.119</v>
      </c>
      <c r="EG30" t="s">
        <v>69</v>
      </c>
      <c r="EH30" t="s">
        <v>69</v>
      </c>
      <c r="EI30">
        <v>483</v>
      </c>
      <c r="EJ30" t="s">
        <v>157</v>
      </c>
      <c r="EK30" t="s">
        <v>69</v>
      </c>
      <c r="EL30" t="s">
        <v>75</v>
      </c>
      <c r="EM30" t="s">
        <v>69</v>
      </c>
      <c r="EN30">
        <v>155.15600000000001</v>
      </c>
      <c r="EO30" t="s">
        <v>69</v>
      </c>
      <c r="EP30" t="s">
        <v>69</v>
      </c>
      <c r="EQ30">
        <v>486</v>
      </c>
      <c r="ER30" t="s">
        <v>72</v>
      </c>
      <c r="ES30" t="s">
        <v>69</v>
      </c>
      <c r="ET30" t="s">
        <v>71</v>
      </c>
      <c r="EU30" t="s">
        <v>69</v>
      </c>
      <c r="EV30">
        <v>131.17500000000001</v>
      </c>
      <c r="EW30" t="s">
        <v>69</v>
      </c>
      <c r="EX30" t="s">
        <v>69</v>
      </c>
      <c r="EY30">
        <v>489</v>
      </c>
      <c r="EZ30" t="s">
        <v>72</v>
      </c>
      <c r="FA30" t="s">
        <v>69</v>
      </c>
      <c r="FB30" t="s">
        <v>71</v>
      </c>
      <c r="FC30" t="s">
        <v>69</v>
      </c>
      <c r="FD30">
        <v>131.17500000000001</v>
      </c>
      <c r="FE30" t="s">
        <v>69</v>
      </c>
      <c r="FF30" t="s">
        <v>69</v>
      </c>
      <c r="FG30">
        <v>490</v>
      </c>
      <c r="FH30" t="s">
        <v>147</v>
      </c>
      <c r="FI30" t="s">
        <v>69</v>
      </c>
      <c r="FJ30" t="s">
        <v>148</v>
      </c>
      <c r="FK30" t="s">
        <v>69</v>
      </c>
      <c r="FL30">
        <v>146.14599999999999</v>
      </c>
      <c r="FM30" t="s">
        <v>69</v>
      </c>
      <c r="FN30" t="s">
        <v>69</v>
      </c>
      <c r="FO30">
        <v>514</v>
      </c>
      <c r="FP30" t="s">
        <v>151</v>
      </c>
      <c r="FQ30" t="s">
        <v>69</v>
      </c>
      <c r="FR30" t="s">
        <v>152</v>
      </c>
      <c r="FS30" t="s">
        <v>69</v>
      </c>
      <c r="FT30">
        <v>165.19200000000001</v>
      </c>
      <c r="FU30" t="s">
        <v>69</v>
      </c>
      <c r="FV30" t="s">
        <v>69</v>
      </c>
      <c r="FW30">
        <v>517</v>
      </c>
      <c r="FX30" t="s">
        <v>119</v>
      </c>
      <c r="FY30" t="s">
        <v>69</v>
      </c>
      <c r="FZ30" t="s">
        <v>120</v>
      </c>
      <c r="GA30" t="s">
        <v>69</v>
      </c>
      <c r="GB30">
        <v>147.131</v>
      </c>
      <c r="GC30" t="s">
        <v>69</v>
      </c>
      <c r="GD30" t="s">
        <v>69</v>
      </c>
      <c r="GE30">
        <v>518</v>
      </c>
      <c r="GF30" t="s">
        <v>149</v>
      </c>
      <c r="GG30" t="s">
        <v>69</v>
      </c>
      <c r="GH30" t="s">
        <v>150</v>
      </c>
      <c r="GI30" t="s">
        <v>69</v>
      </c>
      <c r="GJ30">
        <v>119.119</v>
      </c>
      <c r="GK30" t="s">
        <v>69</v>
      </c>
      <c r="GL30" t="s">
        <v>69</v>
      </c>
      <c r="GM30">
        <v>521</v>
      </c>
      <c r="GN30" t="s">
        <v>149</v>
      </c>
      <c r="GO30" t="s">
        <v>69</v>
      </c>
      <c r="GP30" t="s">
        <v>150</v>
      </c>
      <c r="GQ30" t="s">
        <v>69</v>
      </c>
      <c r="GR30">
        <v>119.119</v>
      </c>
      <c r="GS30" t="s">
        <v>69</v>
      </c>
      <c r="GT30" t="s">
        <v>69</v>
      </c>
      <c r="GU30">
        <v>525</v>
      </c>
      <c r="GV30" t="s">
        <v>147</v>
      </c>
      <c r="GW30" t="s">
        <v>69</v>
      </c>
      <c r="GX30" t="s">
        <v>148</v>
      </c>
      <c r="GY30" t="s">
        <v>69</v>
      </c>
      <c r="GZ30">
        <v>146.14599999999999</v>
      </c>
      <c r="HA30" t="s">
        <v>69</v>
      </c>
      <c r="HB30" t="s">
        <v>69</v>
      </c>
      <c r="HC30">
        <v>527</v>
      </c>
      <c r="HD30" t="s">
        <v>70</v>
      </c>
      <c r="HE30" t="s">
        <v>69</v>
      </c>
      <c r="HF30" t="s">
        <v>71</v>
      </c>
      <c r="HG30" t="s">
        <v>69</v>
      </c>
      <c r="HH30">
        <v>75.066999999999993</v>
      </c>
      <c r="HI30" t="s">
        <v>69</v>
      </c>
      <c r="HJ30" t="s">
        <v>69</v>
      </c>
      <c r="HK30">
        <v>529</v>
      </c>
      <c r="HL30" t="s">
        <v>72</v>
      </c>
      <c r="HM30" t="s">
        <v>153</v>
      </c>
      <c r="HN30" t="s">
        <v>71</v>
      </c>
      <c r="HO30" t="s">
        <v>153</v>
      </c>
      <c r="HP30">
        <v>131.17500000000001</v>
      </c>
      <c r="HQ30" t="s">
        <v>69</v>
      </c>
      <c r="HR30" t="s">
        <v>69</v>
      </c>
      <c r="HS30">
        <v>547</v>
      </c>
      <c r="HT30" t="s">
        <v>116</v>
      </c>
      <c r="HU30" t="s">
        <v>69</v>
      </c>
      <c r="HV30" t="s">
        <v>117</v>
      </c>
      <c r="HW30" t="s">
        <v>69</v>
      </c>
      <c r="HX30">
        <v>149.208</v>
      </c>
      <c r="HY30" t="s">
        <v>69</v>
      </c>
      <c r="HZ30" t="s">
        <v>69</v>
      </c>
      <c r="IA30">
        <v>551</v>
      </c>
      <c r="IB30" t="s">
        <v>157</v>
      </c>
      <c r="IC30" t="s">
        <v>69</v>
      </c>
      <c r="ID30" t="s">
        <v>75</v>
      </c>
      <c r="IE30" t="s">
        <v>69</v>
      </c>
      <c r="IF30">
        <v>155.15600000000001</v>
      </c>
      <c r="IG30" t="s">
        <v>69</v>
      </c>
      <c r="IH30" t="s">
        <v>69</v>
      </c>
      <c r="II30">
        <v>555</v>
      </c>
      <c r="IJ30" t="s">
        <v>72</v>
      </c>
      <c r="IK30" t="s">
        <v>69</v>
      </c>
      <c r="IL30" t="s">
        <v>71</v>
      </c>
      <c r="IM30" t="s">
        <v>69</v>
      </c>
      <c r="IN30">
        <v>131.17500000000001</v>
      </c>
      <c r="IO30" t="s">
        <v>69</v>
      </c>
      <c r="IP30" t="s">
        <v>69</v>
      </c>
      <c r="IQ30">
        <v>558</v>
      </c>
      <c r="IR30" t="s">
        <v>73</v>
      </c>
      <c r="IS30" t="s">
        <v>69</v>
      </c>
      <c r="IT30" t="s">
        <v>71</v>
      </c>
      <c r="IU30" t="s">
        <v>69</v>
      </c>
      <c r="IV30">
        <v>89.093999999999994</v>
      </c>
      <c r="IW30" t="s">
        <v>69</v>
      </c>
      <c r="IX30" t="s">
        <v>69</v>
      </c>
      <c r="IY30">
        <v>559</v>
      </c>
      <c r="IZ30" t="s">
        <v>73</v>
      </c>
      <c r="JA30" t="s">
        <v>69</v>
      </c>
      <c r="JB30" t="s">
        <v>71</v>
      </c>
      <c r="JC30" t="s">
        <v>69</v>
      </c>
      <c r="JD30">
        <v>89.093999999999994</v>
      </c>
      <c r="JE30" t="s">
        <v>69</v>
      </c>
      <c r="JF30" t="s">
        <v>69</v>
      </c>
      <c r="JG30">
        <v>566</v>
      </c>
      <c r="JH30" t="s">
        <v>73</v>
      </c>
      <c r="JI30" t="s">
        <v>69</v>
      </c>
      <c r="JJ30" t="s">
        <v>71</v>
      </c>
      <c r="JK30" t="s">
        <v>69</v>
      </c>
      <c r="JL30">
        <v>89.093999999999994</v>
      </c>
      <c r="JM30" t="s">
        <v>69</v>
      </c>
      <c r="JN30" t="s">
        <v>69</v>
      </c>
    </row>
    <row r="31" spans="1:274" x14ac:dyDescent="0.25">
      <c r="A31">
        <v>7</v>
      </c>
      <c r="B31" t="str">
        <f>HYPERLINK("http://www.ncbi.nlm.nih.gov/protein/XP_025050777.1","XP_025050777.1")</f>
        <v>XP_025050777.1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HYPERLINK("http://www.ncbi.nlm.nih.gov/protein/XP_025050777.1","mitochondrial import receptor subunit TOM70")</f>
        <v>mitochondrial import receptor subunit TOM70</v>
      </c>
      <c r="I31" t="s">
        <v>270</v>
      </c>
      <c r="J31" t="s">
        <v>69</v>
      </c>
      <c r="K31">
        <v>108</v>
      </c>
      <c r="L31" t="s">
        <v>145</v>
      </c>
      <c r="M31" t="s">
        <v>69</v>
      </c>
      <c r="N31" t="s">
        <v>71</v>
      </c>
      <c r="O31" t="s">
        <v>69</v>
      </c>
      <c r="P31">
        <v>131.17500000000001</v>
      </c>
      <c r="Q31" t="s">
        <v>69</v>
      </c>
      <c r="R31" t="s">
        <v>69</v>
      </c>
      <c r="S31">
        <v>149</v>
      </c>
      <c r="T31" t="s">
        <v>151</v>
      </c>
      <c r="U31" t="s">
        <v>69</v>
      </c>
      <c r="V31" t="s">
        <v>152</v>
      </c>
      <c r="W31" t="s">
        <v>69</v>
      </c>
      <c r="X31">
        <v>165.19200000000001</v>
      </c>
      <c r="Y31" t="s">
        <v>69</v>
      </c>
      <c r="Z31" t="s">
        <v>69</v>
      </c>
      <c r="AA31">
        <v>152</v>
      </c>
      <c r="AB31" t="s">
        <v>155</v>
      </c>
      <c r="AC31" t="s">
        <v>69</v>
      </c>
      <c r="AD31" t="s">
        <v>150</v>
      </c>
      <c r="AE31" t="s">
        <v>69</v>
      </c>
      <c r="AF31">
        <v>105.093</v>
      </c>
      <c r="AG31" t="s">
        <v>69</v>
      </c>
      <c r="AH31" t="s">
        <v>69</v>
      </c>
      <c r="AI31">
        <v>153</v>
      </c>
      <c r="AJ31" t="s">
        <v>69</v>
      </c>
      <c r="AK31" t="s">
        <v>69</v>
      </c>
      <c r="AL31" t="s">
        <v>152</v>
      </c>
      <c r="AM31" t="s">
        <v>69</v>
      </c>
      <c r="AN31">
        <v>181.191</v>
      </c>
      <c r="AO31" t="s">
        <v>69</v>
      </c>
      <c r="AP31" t="s">
        <v>69</v>
      </c>
      <c r="AQ31">
        <v>233</v>
      </c>
      <c r="AR31" t="s">
        <v>72</v>
      </c>
      <c r="AS31" t="s">
        <v>69</v>
      </c>
      <c r="AT31" t="s">
        <v>71</v>
      </c>
      <c r="AU31" t="s">
        <v>69</v>
      </c>
      <c r="AV31">
        <v>131.17500000000001</v>
      </c>
      <c r="AW31" t="s">
        <v>69</v>
      </c>
      <c r="AX31" t="s">
        <v>69</v>
      </c>
      <c r="AY31">
        <v>234</v>
      </c>
      <c r="AZ31" t="s">
        <v>72</v>
      </c>
      <c r="BA31" t="s">
        <v>69</v>
      </c>
      <c r="BB31" t="s">
        <v>71</v>
      </c>
      <c r="BC31" t="s">
        <v>69</v>
      </c>
      <c r="BD31">
        <v>131.17500000000001</v>
      </c>
      <c r="BE31" t="s">
        <v>69</v>
      </c>
      <c r="BF31" t="s">
        <v>69</v>
      </c>
      <c r="BG31">
        <v>268</v>
      </c>
      <c r="BH31" t="s">
        <v>155</v>
      </c>
      <c r="BI31" t="s">
        <v>69</v>
      </c>
      <c r="BJ31" t="s">
        <v>150</v>
      </c>
      <c r="BK31" t="s">
        <v>69</v>
      </c>
      <c r="BL31">
        <v>105.093</v>
      </c>
      <c r="BM31" t="s">
        <v>69</v>
      </c>
      <c r="BN31" t="s">
        <v>69</v>
      </c>
      <c r="BO31">
        <v>271</v>
      </c>
      <c r="BP31" t="s">
        <v>116</v>
      </c>
      <c r="BQ31" t="s">
        <v>69</v>
      </c>
      <c r="BR31" t="s">
        <v>117</v>
      </c>
      <c r="BS31" t="s">
        <v>69</v>
      </c>
      <c r="BT31">
        <v>149.208</v>
      </c>
      <c r="BU31" t="s">
        <v>69</v>
      </c>
      <c r="BV31" t="s">
        <v>69</v>
      </c>
      <c r="BW31">
        <v>302</v>
      </c>
      <c r="BX31" t="s">
        <v>147</v>
      </c>
      <c r="BY31" t="s">
        <v>69</v>
      </c>
      <c r="BZ31" t="s">
        <v>148</v>
      </c>
      <c r="CA31" t="s">
        <v>69</v>
      </c>
      <c r="CB31">
        <v>146.14599999999999</v>
      </c>
      <c r="CC31" t="s">
        <v>69</v>
      </c>
      <c r="CD31" t="s">
        <v>69</v>
      </c>
      <c r="CE31">
        <v>303</v>
      </c>
      <c r="CF31" t="s">
        <v>72</v>
      </c>
      <c r="CG31" t="s">
        <v>69</v>
      </c>
      <c r="CH31" t="s">
        <v>71</v>
      </c>
      <c r="CI31" t="s">
        <v>69</v>
      </c>
      <c r="CJ31">
        <v>131.17500000000001</v>
      </c>
      <c r="CK31" t="s">
        <v>69</v>
      </c>
      <c r="CL31" t="s">
        <v>69</v>
      </c>
      <c r="CM31">
        <v>305</v>
      </c>
      <c r="CN31" t="s">
        <v>145</v>
      </c>
      <c r="CO31" t="s">
        <v>69</v>
      </c>
      <c r="CP31" t="s">
        <v>71</v>
      </c>
      <c r="CQ31" t="s">
        <v>69</v>
      </c>
      <c r="CR31">
        <v>131.17500000000001</v>
      </c>
      <c r="CS31" t="s">
        <v>69</v>
      </c>
      <c r="CT31" t="s">
        <v>69</v>
      </c>
      <c r="CU31">
        <v>307</v>
      </c>
      <c r="CV31" t="s">
        <v>72</v>
      </c>
      <c r="CW31" t="s">
        <v>69</v>
      </c>
      <c r="CX31" t="s">
        <v>71</v>
      </c>
      <c r="CY31" t="s">
        <v>69</v>
      </c>
      <c r="CZ31">
        <v>131.17500000000001</v>
      </c>
      <c r="DA31" t="s">
        <v>69</v>
      </c>
      <c r="DB31" t="s">
        <v>69</v>
      </c>
      <c r="DC31">
        <v>336</v>
      </c>
      <c r="DD31" t="s">
        <v>151</v>
      </c>
      <c r="DE31" t="s">
        <v>69</v>
      </c>
      <c r="DF31" t="s">
        <v>152</v>
      </c>
      <c r="DG31" t="s">
        <v>69</v>
      </c>
      <c r="DH31">
        <v>165.19200000000001</v>
      </c>
      <c r="DI31" t="s">
        <v>69</v>
      </c>
      <c r="DJ31" t="s">
        <v>69</v>
      </c>
      <c r="DK31">
        <v>373</v>
      </c>
      <c r="DL31" t="s">
        <v>73</v>
      </c>
      <c r="DM31" t="s">
        <v>69</v>
      </c>
      <c r="DN31" t="s">
        <v>71</v>
      </c>
      <c r="DO31" t="s">
        <v>69</v>
      </c>
      <c r="DP31">
        <v>89.093999999999994</v>
      </c>
      <c r="DQ31" t="s">
        <v>69</v>
      </c>
      <c r="DR31" t="s">
        <v>69</v>
      </c>
      <c r="DS31">
        <v>374</v>
      </c>
      <c r="DT31" t="s">
        <v>72</v>
      </c>
      <c r="DU31" t="s">
        <v>69</v>
      </c>
      <c r="DV31" t="s">
        <v>71</v>
      </c>
      <c r="DW31" t="s">
        <v>69</v>
      </c>
      <c r="DX31">
        <v>131.17500000000001</v>
      </c>
      <c r="DY31" t="s">
        <v>69</v>
      </c>
      <c r="DZ31" t="s">
        <v>69</v>
      </c>
      <c r="EA31">
        <v>404</v>
      </c>
      <c r="EB31" t="s">
        <v>149</v>
      </c>
      <c r="EC31" t="s">
        <v>69</v>
      </c>
      <c r="ED31" t="s">
        <v>150</v>
      </c>
      <c r="EE31" t="s">
        <v>69</v>
      </c>
      <c r="EF31">
        <v>119.119</v>
      </c>
      <c r="EG31" t="s">
        <v>69</v>
      </c>
      <c r="EH31" t="s">
        <v>69</v>
      </c>
      <c r="EI31">
        <v>408</v>
      </c>
      <c r="EJ31" t="s">
        <v>157</v>
      </c>
      <c r="EK31" t="s">
        <v>69</v>
      </c>
      <c r="EL31" t="s">
        <v>75</v>
      </c>
      <c r="EM31" t="s">
        <v>69</v>
      </c>
      <c r="EN31">
        <v>155.15600000000001</v>
      </c>
      <c r="EO31" t="s">
        <v>69</v>
      </c>
      <c r="EP31" t="s">
        <v>69</v>
      </c>
      <c r="EQ31">
        <v>411</v>
      </c>
      <c r="ER31" t="s">
        <v>72</v>
      </c>
      <c r="ES31" t="s">
        <v>69</v>
      </c>
      <c r="ET31" t="s">
        <v>71</v>
      </c>
      <c r="EU31" t="s">
        <v>69</v>
      </c>
      <c r="EV31">
        <v>131.17500000000001</v>
      </c>
      <c r="EW31" t="s">
        <v>69</v>
      </c>
      <c r="EX31" t="s">
        <v>69</v>
      </c>
      <c r="EY31">
        <v>414</v>
      </c>
      <c r="EZ31" t="s">
        <v>72</v>
      </c>
      <c r="FA31" t="s">
        <v>69</v>
      </c>
      <c r="FB31" t="s">
        <v>71</v>
      </c>
      <c r="FC31" t="s">
        <v>69</v>
      </c>
      <c r="FD31">
        <v>131.17500000000001</v>
      </c>
      <c r="FE31" t="s">
        <v>69</v>
      </c>
      <c r="FF31" t="s">
        <v>69</v>
      </c>
      <c r="FG31">
        <v>415</v>
      </c>
      <c r="FH31" t="s">
        <v>147</v>
      </c>
      <c r="FI31" t="s">
        <v>69</v>
      </c>
      <c r="FJ31" t="s">
        <v>148</v>
      </c>
      <c r="FK31" t="s">
        <v>69</v>
      </c>
      <c r="FL31">
        <v>146.14599999999999</v>
      </c>
      <c r="FM31" t="s">
        <v>69</v>
      </c>
      <c r="FN31" t="s">
        <v>69</v>
      </c>
      <c r="FO31">
        <v>439</v>
      </c>
      <c r="FP31" t="s">
        <v>151</v>
      </c>
      <c r="FQ31" t="s">
        <v>69</v>
      </c>
      <c r="FR31" t="s">
        <v>152</v>
      </c>
      <c r="FS31" t="s">
        <v>69</v>
      </c>
      <c r="FT31">
        <v>165.19200000000001</v>
      </c>
      <c r="FU31" t="s">
        <v>69</v>
      </c>
      <c r="FV31" t="s">
        <v>69</v>
      </c>
      <c r="FW31">
        <v>442</v>
      </c>
      <c r="FX31" t="s">
        <v>119</v>
      </c>
      <c r="FY31" t="s">
        <v>69</v>
      </c>
      <c r="FZ31" t="s">
        <v>120</v>
      </c>
      <c r="GA31" t="s">
        <v>69</v>
      </c>
      <c r="GB31">
        <v>147.131</v>
      </c>
      <c r="GC31" t="s">
        <v>69</v>
      </c>
      <c r="GD31" t="s">
        <v>69</v>
      </c>
      <c r="GE31">
        <v>443</v>
      </c>
      <c r="GF31" t="s">
        <v>149</v>
      </c>
      <c r="GG31" t="s">
        <v>69</v>
      </c>
      <c r="GH31" t="s">
        <v>150</v>
      </c>
      <c r="GI31" t="s">
        <v>69</v>
      </c>
      <c r="GJ31">
        <v>119.119</v>
      </c>
      <c r="GK31" t="s">
        <v>69</v>
      </c>
      <c r="GL31" t="s">
        <v>69</v>
      </c>
      <c r="GM31">
        <v>446</v>
      </c>
      <c r="GN31" t="s">
        <v>149</v>
      </c>
      <c r="GO31" t="s">
        <v>69</v>
      </c>
      <c r="GP31" t="s">
        <v>150</v>
      </c>
      <c r="GQ31" t="s">
        <v>69</v>
      </c>
      <c r="GR31">
        <v>119.119</v>
      </c>
      <c r="GS31" t="s">
        <v>69</v>
      </c>
      <c r="GT31" t="s">
        <v>69</v>
      </c>
      <c r="GU31">
        <v>450</v>
      </c>
      <c r="GV31" t="s">
        <v>147</v>
      </c>
      <c r="GW31" t="s">
        <v>69</v>
      </c>
      <c r="GX31" t="s">
        <v>148</v>
      </c>
      <c r="GY31" t="s">
        <v>69</v>
      </c>
      <c r="GZ31">
        <v>146.14599999999999</v>
      </c>
      <c r="HA31" t="s">
        <v>69</v>
      </c>
      <c r="HB31" t="s">
        <v>69</v>
      </c>
      <c r="HC31">
        <v>452</v>
      </c>
      <c r="HD31" t="s">
        <v>70</v>
      </c>
      <c r="HE31" t="s">
        <v>69</v>
      </c>
      <c r="HF31" t="s">
        <v>71</v>
      </c>
      <c r="HG31" t="s">
        <v>69</v>
      </c>
      <c r="HH31">
        <v>75.066999999999993</v>
      </c>
      <c r="HI31" t="s">
        <v>69</v>
      </c>
      <c r="HJ31" t="s">
        <v>69</v>
      </c>
      <c r="HK31">
        <v>454</v>
      </c>
      <c r="HL31" t="s">
        <v>72</v>
      </c>
      <c r="HM31" t="s">
        <v>153</v>
      </c>
      <c r="HN31" t="s">
        <v>71</v>
      </c>
      <c r="HO31" t="s">
        <v>153</v>
      </c>
      <c r="HP31">
        <v>131.17500000000001</v>
      </c>
      <c r="HQ31" t="s">
        <v>69</v>
      </c>
      <c r="HR31" t="s">
        <v>69</v>
      </c>
      <c r="HS31">
        <v>472</v>
      </c>
      <c r="HT31" t="s">
        <v>116</v>
      </c>
      <c r="HU31" t="s">
        <v>69</v>
      </c>
      <c r="HV31" t="s">
        <v>117</v>
      </c>
      <c r="HW31" t="s">
        <v>69</v>
      </c>
      <c r="HX31">
        <v>149.208</v>
      </c>
      <c r="HY31" t="s">
        <v>69</v>
      </c>
      <c r="HZ31" t="s">
        <v>69</v>
      </c>
      <c r="IA31">
        <v>476</v>
      </c>
      <c r="IB31" t="s">
        <v>157</v>
      </c>
      <c r="IC31" t="s">
        <v>69</v>
      </c>
      <c r="ID31" t="s">
        <v>75</v>
      </c>
      <c r="IE31" t="s">
        <v>69</v>
      </c>
      <c r="IF31">
        <v>155.15600000000001</v>
      </c>
      <c r="IG31" t="s">
        <v>69</v>
      </c>
      <c r="IH31" t="s">
        <v>69</v>
      </c>
      <c r="II31">
        <v>480</v>
      </c>
      <c r="IJ31" t="s">
        <v>72</v>
      </c>
      <c r="IK31" t="s">
        <v>69</v>
      </c>
      <c r="IL31" t="s">
        <v>71</v>
      </c>
      <c r="IM31" t="s">
        <v>69</v>
      </c>
      <c r="IN31">
        <v>131.17500000000001</v>
      </c>
      <c r="IO31" t="s">
        <v>69</v>
      </c>
      <c r="IP31" t="s">
        <v>69</v>
      </c>
      <c r="IQ31">
        <v>483</v>
      </c>
      <c r="IR31" t="s">
        <v>73</v>
      </c>
      <c r="IS31" t="s">
        <v>69</v>
      </c>
      <c r="IT31" t="s">
        <v>71</v>
      </c>
      <c r="IU31" t="s">
        <v>69</v>
      </c>
      <c r="IV31">
        <v>89.093999999999994</v>
      </c>
      <c r="IW31" t="s">
        <v>69</v>
      </c>
      <c r="IX31" t="s">
        <v>69</v>
      </c>
      <c r="IY31">
        <v>484</v>
      </c>
      <c r="IZ31" t="s">
        <v>73</v>
      </c>
      <c r="JA31" t="s">
        <v>69</v>
      </c>
      <c r="JB31" t="s">
        <v>71</v>
      </c>
      <c r="JC31" t="s">
        <v>69</v>
      </c>
      <c r="JD31">
        <v>89.093999999999994</v>
      </c>
      <c r="JE31" t="s">
        <v>69</v>
      </c>
      <c r="JF31" t="s">
        <v>69</v>
      </c>
      <c r="JG31">
        <v>491</v>
      </c>
      <c r="JH31" t="s">
        <v>73</v>
      </c>
      <c r="JI31" t="s">
        <v>69</v>
      </c>
      <c r="JJ31" t="s">
        <v>71</v>
      </c>
      <c r="JK31" t="s">
        <v>69</v>
      </c>
      <c r="JL31">
        <v>89.093999999999994</v>
      </c>
      <c r="JM31" t="s">
        <v>69</v>
      </c>
      <c r="JN31" t="s">
        <v>69</v>
      </c>
    </row>
    <row r="32" spans="1:274" x14ac:dyDescent="0.25">
      <c r="A32">
        <v>7</v>
      </c>
      <c r="B32" t="str">
        <f>HYPERLINK("http://www.ncbi.nlm.nih.gov/protein/PKK32817.1","PKK32817.1")</f>
        <v>PKK32817.1</v>
      </c>
      <c r="C32">
        <v>50957</v>
      </c>
      <c r="D32" t="str">
        <f>HYPERLINK("http://www.ncbi.nlm.nih.gov/Taxonomy/Browser/wwwtax.cgi?mode=Info&amp;id=8932&amp;lvl=3&amp;lin=f&amp;keep=1&amp;srchmode=1&amp;unlock","8932")</f>
        <v>8932</v>
      </c>
      <c r="E32" t="s">
        <v>107</v>
      </c>
      <c r="F32" t="str">
        <f>HYPERLINK("http://www.ncbi.nlm.nih.gov/Taxonomy/Browser/wwwtax.cgi?mode=Info&amp;id=8932&amp;lvl=3&amp;lin=f&amp;keep=1&amp;srchmode=1&amp;unlock","Columba livia")</f>
        <v>Columba livia</v>
      </c>
      <c r="G32" t="s">
        <v>108</v>
      </c>
      <c r="H32" t="str">
        <f>HYPERLINK("http://www.ncbi.nlm.nih.gov/protein/PKK32817.1","hypothetical protein A306_00002980")</f>
        <v>hypothetical protein A306_00002980</v>
      </c>
      <c r="I32" t="s">
        <v>270</v>
      </c>
      <c r="J32" t="s">
        <v>69</v>
      </c>
      <c r="K32">
        <v>122</v>
      </c>
      <c r="L32" t="s">
        <v>145</v>
      </c>
      <c r="M32" t="s">
        <v>69</v>
      </c>
      <c r="N32" t="s">
        <v>71</v>
      </c>
      <c r="O32" t="s">
        <v>69</v>
      </c>
      <c r="P32">
        <v>131.17500000000001</v>
      </c>
      <c r="Q32" t="s">
        <v>69</v>
      </c>
      <c r="R32" t="s">
        <v>69</v>
      </c>
      <c r="S32">
        <v>163</v>
      </c>
      <c r="T32" t="s">
        <v>151</v>
      </c>
      <c r="U32" t="s">
        <v>69</v>
      </c>
      <c r="V32" t="s">
        <v>152</v>
      </c>
      <c r="W32" t="s">
        <v>69</v>
      </c>
      <c r="X32">
        <v>165.19200000000001</v>
      </c>
      <c r="Y32" t="s">
        <v>69</v>
      </c>
      <c r="Z32" t="s">
        <v>69</v>
      </c>
      <c r="AA32">
        <v>166</v>
      </c>
      <c r="AB32" t="s">
        <v>155</v>
      </c>
      <c r="AC32" t="s">
        <v>69</v>
      </c>
      <c r="AD32" t="s">
        <v>150</v>
      </c>
      <c r="AE32" t="s">
        <v>69</v>
      </c>
      <c r="AF32">
        <v>105.093</v>
      </c>
      <c r="AG32" t="s">
        <v>69</v>
      </c>
      <c r="AH32" t="s">
        <v>69</v>
      </c>
      <c r="AI32">
        <v>167</v>
      </c>
      <c r="AJ32" t="s">
        <v>69</v>
      </c>
      <c r="AK32" t="s">
        <v>69</v>
      </c>
      <c r="AL32" t="s">
        <v>152</v>
      </c>
      <c r="AM32" t="s">
        <v>69</v>
      </c>
      <c r="AN32">
        <v>181.191</v>
      </c>
      <c r="AO32" t="s">
        <v>69</v>
      </c>
      <c r="AP32" t="s">
        <v>69</v>
      </c>
      <c r="AQ32">
        <v>247</v>
      </c>
      <c r="AR32" t="s">
        <v>72</v>
      </c>
      <c r="AS32" t="s">
        <v>69</v>
      </c>
      <c r="AT32" t="s">
        <v>71</v>
      </c>
      <c r="AU32" t="s">
        <v>69</v>
      </c>
      <c r="AV32">
        <v>131.17500000000001</v>
      </c>
      <c r="AW32" t="s">
        <v>69</v>
      </c>
      <c r="AX32" t="s">
        <v>69</v>
      </c>
      <c r="AY32">
        <v>248</v>
      </c>
      <c r="AZ32" t="s">
        <v>72</v>
      </c>
      <c r="BA32" t="s">
        <v>69</v>
      </c>
      <c r="BB32" t="s">
        <v>71</v>
      </c>
      <c r="BC32" t="s">
        <v>69</v>
      </c>
      <c r="BD32">
        <v>131.17500000000001</v>
      </c>
      <c r="BE32" t="s">
        <v>69</v>
      </c>
      <c r="BF32" t="s">
        <v>69</v>
      </c>
      <c r="BG32">
        <v>282</v>
      </c>
      <c r="BH32" t="s">
        <v>155</v>
      </c>
      <c r="BI32" t="s">
        <v>69</v>
      </c>
      <c r="BJ32" t="s">
        <v>150</v>
      </c>
      <c r="BK32" t="s">
        <v>69</v>
      </c>
      <c r="BL32">
        <v>105.093</v>
      </c>
      <c r="BM32" t="s">
        <v>69</v>
      </c>
      <c r="BN32" t="s">
        <v>69</v>
      </c>
      <c r="BO32">
        <v>285</v>
      </c>
      <c r="BP32" t="s">
        <v>116</v>
      </c>
      <c r="BQ32" t="s">
        <v>69</v>
      </c>
      <c r="BR32" t="s">
        <v>117</v>
      </c>
      <c r="BS32" t="s">
        <v>69</v>
      </c>
      <c r="BT32">
        <v>149.208</v>
      </c>
      <c r="BU32" t="s">
        <v>69</v>
      </c>
      <c r="BV32" t="s">
        <v>69</v>
      </c>
      <c r="BW32">
        <v>316</v>
      </c>
      <c r="BX32" t="s">
        <v>147</v>
      </c>
      <c r="BY32" t="s">
        <v>69</v>
      </c>
      <c r="BZ32" t="s">
        <v>148</v>
      </c>
      <c r="CA32" t="s">
        <v>69</v>
      </c>
      <c r="CB32">
        <v>146.14599999999999</v>
      </c>
      <c r="CC32" t="s">
        <v>69</v>
      </c>
      <c r="CD32" t="s">
        <v>69</v>
      </c>
      <c r="CE32">
        <v>317</v>
      </c>
      <c r="CF32" t="s">
        <v>72</v>
      </c>
      <c r="CG32" t="s">
        <v>69</v>
      </c>
      <c r="CH32" t="s">
        <v>71</v>
      </c>
      <c r="CI32" t="s">
        <v>69</v>
      </c>
      <c r="CJ32">
        <v>131.17500000000001</v>
      </c>
      <c r="CK32" t="s">
        <v>69</v>
      </c>
      <c r="CL32" t="s">
        <v>69</v>
      </c>
      <c r="CM32">
        <v>319</v>
      </c>
      <c r="CN32" t="s">
        <v>145</v>
      </c>
      <c r="CO32" t="s">
        <v>69</v>
      </c>
      <c r="CP32" t="s">
        <v>71</v>
      </c>
      <c r="CQ32" t="s">
        <v>69</v>
      </c>
      <c r="CR32">
        <v>131.17500000000001</v>
      </c>
      <c r="CS32" t="s">
        <v>69</v>
      </c>
      <c r="CT32" t="s">
        <v>69</v>
      </c>
      <c r="CU32">
        <v>321</v>
      </c>
      <c r="CV32" t="s">
        <v>72</v>
      </c>
      <c r="CW32" t="s">
        <v>69</v>
      </c>
      <c r="CX32" t="s">
        <v>71</v>
      </c>
      <c r="CY32" t="s">
        <v>69</v>
      </c>
      <c r="CZ32">
        <v>131.17500000000001</v>
      </c>
      <c r="DA32" t="s">
        <v>69</v>
      </c>
      <c r="DB32" t="s">
        <v>69</v>
      </c>
      <c r="DC32">
        <v>350</v>
      </c>
      <c r="DD32" t="s">
        <v>151</v>
      </c>
      <c r="DE32" t="s">
        <v>69</v>
      </c>
      <c r="DF32" t="s">
        <v>152</v>
      </c>
      <c r="DG32" t="s">
        <v>69</v>
      </c>
      <c r="DH32">
        <v>165.19200000000001</v>
      </c>
      <c r="DI32" t="s">
        <v>69</v>
      </c>
      <c r="DJ32" t="s">
        <v>69</v>
      </c>
      <c r="DK32">
        <v>387</v>
      </c>
      <c r="DL32" t="s">
        <v>73</v>
      </c>
      <c r="DM32" t="s">
        <v>69</v>
      </c>
      <c r="DN32" t="s">
        <v>71</v>
      </c>
      <c r="DO32" t="s">
        <v>69</v>
      </c>
      <c r="DP32">
        <v>89.093999999999994</v>
      </c>
      <c r="DQ32" t="s">
        <v>69</v>
      </c>
      <c r="DR32" t="s">
        <v>69</v>
      </c>
      <c r="DS32">
        <v>388</v>
      </c>
      <c r="DT32" t="s">
        <v>72</v>
      </c>
      <c r="DU32" t="s">
        <v>69</v>
      </c>
      <c r="DV32" t="s">
        <v>71</v>
      </c>
      <c r="DW32" t="s">
        <v>69</v>
      </c>
      <c r="DX32">
        <v>131.17500000000001</v>
      </c>
      <c r="DY32" t="s">
        <v>69</v>
      </c>
      <c r="DZ32" t="s">
        <v>69</v>
      </c>
      <c r="EA32">
        <v>418</v>
      </c>
      <c r="EB32" t="s">
        <v>149</v>
      </c>
      <c r="EC32" t="s">
        <v>69</v>
      </c>
      <c r="ED32" t="s">
        <v>150</v>
      </c>
      <c r="EE32" t="s">
        <v>69</v>
      </c>
      <c r="EF32">
        <v>119.119</v>
      </c>
      <c r="EG32" t="s">
        <v>69</v>
      </c>
      <c r="EH32" t="s">
        <v>69</v>
      </c>
      <c r="EI32">
        <v>422</v>
      </c>
      <c r="EJ32" t="s">
        <v>157</v>
      </c>
      <c r="EK32" t="s">
        <v>69</v>
      </c>
      <c r="EL32" t="s">
        <v>75</v>
      </c>
      <c r="EM32" t="s">
        <v>69</v>
      </c>
      <c r="EN32">
        <v>155.15600000000001</v>
      </c>
      <c r="EO32" t="s">
        <v>69</v>
      </c>
      <c r="EP32" t="s">
        <v>69</v>
      </c>
      <c r="EQ32">
        <v>425</v>
      </c>
      <c r="ER32" t="s">
        <v>72</v>
      </c>
      <c r="ES32" t="s">
        <v>69</v>
      </c>
      <c r="ET32" t="s">
        <v>71</v>
      </c>
      <c r="EU32" t="s">
        <v>69</v>
      </c>
      <c r="EV32">
        <v>131.17500000000001</v>
      </c>
      <c r="EW32" t="s">
        <v>69</v>
      </c>
      <c r="EX32" t="s">
        <v>69</v>
      </c>
      <c r="EY32">
        <v>428</v>
      </c>
      <c r="EZ32" t="s">
        <v>72</v>
      </c>
      <c r="FA32" t="s">
        <v>69</v>
      </c>
      <c r="FB32" t="s">
        <v>71</v>
      </c>
      <c r="FC32" t="s">
        <v>69</v>
      </c>
      <c r="FD32">
        <v>131.17500000000001</v>
      </c>
      <c r="FE32" t="s">
        <v>69</v>
      </c>
      <c r="FF32" t="s">
        <v>69</v>
      </c>
      <c r="FG32">
        <v>429</v>
      </c>
      <c r="FH32" t="s">
        <v>147</v>
      </c>
      <c r="FI32" t="s">
        <v>69</v>
      </c>
      <c r="FJ32" t="s">
        <v>148</v>
      </c>
      <c r="FK32" t="s">
        <v>69</v>
      </c>
      <c r="FL32">
        <v>146.14599999999999</v>
      </c>
      <c r="FM32" t="s">
        <v>69</v>
      </c>
      <c r="FN32" t="s">
        <v>69</v>
      </c>
      <c r="FO32">
        <v>453</v>
      </c>
      <c r="FP32" t="s">
        <v>151</v>
      </c>
      <c r="FQ32" t="s">
        <v>69</v>
      </c>
      <c r="FR32" t="s">
        <v>152</v>
      </c>
      <c r="FS32" t="s">
        <v>69</v>
      </c>
      <c r="FT32">
        <v>165.19200000000001</v>
      </c>
      <c r="FU32" t="s">
        <v>69</v>
      </c>
      <c r="FV32" t="s">
        <v>69</v>
      </c>
      <c r="FW32">
        <v>456</v>
      </c>
      <c r="FX32" t="s">
        <v>119</v>
      </c>
      <c r="FY32" t="s">
        <v>69</v>
      </c>
      <c r="FZ32" t="s">
        <v>120</v>
      </c>
      <c r="GA32" t="s">
        <v>69</v>
      </c>
      <c r="GB32">
        <v>147.131</v>
      </c>
      <c r="GC32" t="s">
        <v>69</v>
      </c>
      <c r="GD32" t="s">
        <v>69</v>
      </c>
      <c r="GE32">
        <v>457</v>
      </c>
      <c r="GF32" t="s">
        <v>149</v>
      </c>
      <c r="GG32" t="s">
        <v>69</v>
      </c>
      <c r="GH32" t="s">
        <v>150</v>
      </c>
      <c r="GI32" t="s">
        <v>69</v>
      </c>
      <c r="GJ32">
        <v>119.119</v>
      </c>
      <c r="GK32" t="s">
        <v>69</v>
      </c>
      <c r="GL32" t="s">
        <v>69</v>
      </c>
      <c r="GM32">
        <v>460</v>
      </c>
      <c r="GN32" t="s">
        <v>149</v>
      </c>
      <c r="GO32" t="s">
        <v>69</v>
      </c>
      <c r="GP32" t="s">
        <v>150</v>
      </c>
      <c r="GQ32" t="s">
        <v>69</v>
      </c>
      <c r="GR32">
        <v>119.119</v>
      </c>
      <c r="GS32" t="s">
        <v>69</v>
      </c>
      <c r="GT32" t="s">
        <v>69</v>
      </c>
      <c r="GU32">
        <v>464</v>
      </c>
      <c r="GV32" t="s">
        <v>147</v>
      </c>
      <c r="GW32" t="s">
        <v>69</v>
      </c>
      <c r="GX32" t="s">
        <v>148</v>
      </c>
      <c r="GY32" t="s">
        <v>69</v>
      </c>
      <c r="GZ32">
        <v>146.14599999999999</v>
      </c>
      <c r="HA32" t="s">
        <v>69</v>
      </c>
      <c r="HB32" t="s">
        <v>69</v>
      </c>
      <c r="HC32">
        <v>466</v>
      </c>
      <c r="HD32" t="s">
        <v>70</v>
      </c>
      <c r="HE32" t="s">
        <v>69</v>
      </c>
      <c r="HF32" t="s">
        <v>71</v>
      </c>
      <c r="HG32" t="s">
        <v>69</v>
      </c>
      <c r="HH32">
        <v>75.066999999999993</v>
      </c>
      <c r="HI32" t="s">
        <v>69</v>
      </c>
      <c r="HJ32" t="s">
        <v>69</v>
      </c>
      <c r="HK32">
        <v>468</v>
      </c>
      <c r="HL32" t="s">
        <v>72</v>
      </c>
      <c r="HM32" t="s">
        <v>153</v>
      </c>
      <c r="HN32" t="s">
        <v>71</v>
      </c>
      <c r="HO32" t="s">
        <v>153</v>
      </c>
      <c r="HP32">
        <v>131.17500000000001</v>
      </c>
      <c r="HQ32" t="s">
        <v>69</v>
      </c>
      <c r="HR32" t="s">
        <v>69</v>
      </c>
      <c r="HS32">
        <v>486</v>
      </c>
      <c r="HT32" t="s">
        <v>116</v>
      </c>
      <c r="HU32" t="s">
        <v>69</v>
      </c>
      <c r="HV32" t="s">
        <v>117</v>
      </c>
      <c r="HW32" t="s">
        <v>69</v>
      </c>
      <c r="HX32">
        <v>149.208</v>
      </c>
      <c r="HY32" t="s">
        <v>69</v>
      </c>
      <c r="HZ32" t="s">
        <v>69</v>
      </c>
      <c r="IA32">
        <v>490</v>
      </c>
      <c r="IB32" t="s">
        <v>157</v>
      </c>
      <c r="IC32" t="s">
        <v>69</v>
      </c>
      <c r="ID32" t="s">
        <v>75</v>
      </c>
      <c r="IE32" t="s">
        <v>69</v>
      </c>
      <c r="IF32">
        <v>155.15600000000001</v>
      </c>
      <c r="IG32" t="s">
        <v>69</v>
      </c>
      <c r="IH32" t="s">
        <v>69</v>
      </c>
      <c r="II32">
        <v>494</v>
      </c>
      <c r="IJ32" t="s">
        <v>72</v>
      </c>
      <c r="IK32" t="s">
        <v>69</v>
      </c>
      <c r="IL32" t="s">
        <v>71</v>
      </c>
      <c r="IM32" t="s">
        <v>69</v>
      </c>
      <c r="IN32">
        <v>131.17500000000001</v>
      </c>
      <c r="IO32" t="s">
        <v>69</v>
      </c>
      <c r="IP32" t="s">
        <v>69</v>
      </c>
      <c r="IQ32">
        <v>497</v>
      </c>
      <c r="IR32" t="s">
        <v>73</v>
      </c>
      <c r="IS32" t="s">
        <v>69</v>
      </c>
      <c r="IT32" t="s">
        <v>71</v>
      </c>
      <c r="IU32" t="s">
        <v>69</v>
      </c>
      <c r="IV32">
        <v>89.093999999999994</v>
      </c>
      <c r="IW32" t="s">
        <v>69</v>
      </c>
      <c r="IX32" t="s">
        <v>69</v>
      </c>
      <c r="IY32">
        <v>498</v>
      </c>
      <c r="IZ32" t="s">
        <v>73</v>
      </c>
      <c r="JA32" t="s">
        <v>69</v>
      </c>
      <c r="JB32" t="s">
        <v>71</v>
      </c>
      <c r="JC32" t="s">
        <v>69</v>
      </c>
      <c r="JD32">
        <v>89.093999999999994</v>
      </c>
      <c r="JE32" t="s">
        <v>69</v>
      </c>
      <c r="JF32" t="s">
        <v>69</v>
      </c>
      <c r="JG32">
        <v>505</v>
      </c>
      <c r="JH32" t="s">
        <v>73</v>
      </c>
      <c r="JI32" t="s">
        <v>69</v>
      </c>
      <c r="JJ32" t="s">
        <v>71</v>
      </c>
      <c r="JK32" t="s">
        <v>69</v>
      </c>
      <c r="JL32">
        <v>89.093999999999994</v>
      </c>
      <c r="JM32" t="s">
        <v>69</v>
      </c>
      <c r="JN32" t="s">
        <v>69</v>
      </c>
    </row>
    <row r="33" spans="1:274" x14ac:dyDescent="0.25">
      <c r="A33">
        <v>7</v>
      </c>
      <c r="B33" t="str">
        <f>HYPERLINK("http://www.ncbi.nlm.nih.gov/protein/XP_039547537.1","XP_039547537.1")</f>
        <v>XP_039547537.1</v>
      </c>
      <c r="C33">
        <v>96114</v>
      </c>
      <c r="D33" t="str">
        <f>HYPERLINK("http://www.ncbi.nlm.nih.gov/Taxonomy/Browser/wwwtax.cgi?mode=Info&amp;id=90988&amp;lvl=3&amp;lin=f&amp;keep=1&amp;srchmode=1&amp;unlock","90988")</f>
        <v>90988</v>
      </c>
      <c r="E33" t="s">
        <v>113</v>
      </c>
      <c r="F33" t="str">
        <f>HYPERLINK("http://www.ncbi.nlm.nih.gov/Taxonomy/Browser/wwwtax.cgi?mode=Info&amp;id=90988&amp;lvl=3&amp;lin=f&amp;keep=1&amp;srchmode=1&amp;unlock","Pimephales promelas")</f>
        <v>Pimephales promelas</v>
      </c>
      <c r="G33" t="s">
        <v>114</v>
      </c>
      <c r="H33" t="str">
        <f>HYPERLINK("http://www.ncbi.nlm.nih.gov/protein/XP_039547537.1","mitochondrial import receptor subunit TOM70")</f>
        <v>mitochondrial import receptor subunit TOM70</v>
      </c>
      <c r="I33" t="s">
        <v>270</v>
      </c>
      <c r="J33" t="s">
        <v>69</v>
      </c>
      <c r="K33">
        <v>186</v>
      </c>
      <c r="L33" t="s">
        <v>145</v>
      </c>
      <c r="M33" t="s">
        <v>69</v>
      </c>
      <c r="N33" t="s">
        <v>71</v>
      </c>
      <c r="O33" t="s">
        <v>69</v>
      </c>
      <c r="P33">
        <v>131.17500000000001</v>
      </c>
      <c r="Q33" t="s">
        <v>69</v>
      </c>
      <c r="R33" t="s">
        <v>69</v>
      </c>
      <c r="S33">
        <v>227</v>
      </c>
      <c r="T33" t="s">
        <v>151</v>
      </c>
      <c r="U33" t="s">
        <v>69</v>
      </c>
      <c r="V33" t="s">
        <v>152</v>
      </c>
      <c r="W33" t="s">
        <v>69</v>
      </c>
      <c r="X33">
        <v>165.19200000000001</v>
      </c>
      <c r="Y33" t="s">
        <v>69</v>
      </c>
      <c r="Z33" t="s">
        <v>69</v>
      </c>
      <c r="AA33">
        <v>230</v>
      </c>
      <c r="AB33" t="s">
        <v>155</v>
      </c>
      <c r="AC33" t="s">
        <v>69</v>
      </c>
      <c r="AD33" t="s">
        <v>150</v>
      </c>
      <c r="AE33" t="s">
        <v>69</v>
      </c>
      <c r="AF33">
        <v>105.093</v>
      </c>
      <c r="AG33" t="s">
        <v>69</v>
      </c>
      <c r="AH33" t="s">
        <v>69</v>
      </c>
      <c r="AI33">
        <v>231</v>
      </c>
      <c r="AJ33" t="s">
        <v>69</v>
      </c>
      <c r="AK33" t="s">
        <v>69</v>
      </c>
      <c r="AL33" t="s">
        <v>152</v>
      </c>
      <c r="AM33" t="s">
        <v>69</v>
      </c>
      <c r="AN33">
        <v>181.191</v>
      </c>
      <c r="AO33" t="s">
        <v>69</v>
      </c>
      <c r="AP33" t="s">
        <v>69</v>
      </c>
      <c r="AQ33">
        <v>311</v>
      </c>
      <c r="AR33" t="s">
        <v>72</v>
      </c>
      <c r="AS33" t="s">
        <v>69</v>
      </c>
      <c r="AT33" t="s">
        <v>71</v>
      </c>
      <c r="AU33" t="s">
        <v>69</v>
      </c>
      <c r="AV33">
        <v>131.17500000000001</v>
      </c>
      <c r="AW33" t="s">
        <v>69</v>
      </c>
      <c r="AX33" t="s">
        <v>69</v>
      </c>
      <c r="AY33">
        <v>312</v>
      </c>
      <c r="AZ33" t="s">
        <v>72</v>
      </c>
      <c r="BA33" t="s">
        <v>69</v>
      </c>
      <c r="BB33" t="s">
        <v>71</v>
      </c>
      <c r="BC33" t="s">
        <v>69</v>
      </c>
      <c r="BD33">
        <v>131.17500000000001</v>
      </c>
      <c r="BE33" t="s">
        <v>69</v>
      </c>
      <c r="BF33" t="s">
        <v>69</v>
      </c>
      <c r="BG33">
        <v>346</v>
      </c>
      <c r="BH33" t="s">
        <v>155</v>
      </c>
      <c r="BI33" t="s">
        <v>69</v>
      </c>
      <c r="BJ33" t="s">
        <v>150</v>
      </c>
      <c r="BK33" t="s">
        <v>69</v>
      </c>
      <c r="BL33">
        <v>105.093</v>
      </c>
      <c r="BM33" t="s">
        <v>69</v>
      </c>
      <c r="BN33" t="s">
        <v>69</v>
      </c>
      <c r="BO33">
        <v>349</v>
      </c>
      <c r="BP33" t="s">
        <v>116</v>
      </c>
      <c r="BQ33" t="s">
        <v>69</v>
      </c>
      <c r="BR33" t="s">
        <v>117</v>
      </c>
      <c r="BS33" t="s">
        <v>69</v>
      </c>
      <c r="BT33">
        <v>149.208</v>
      </c>
      <c r="BU33" t="s">
        <v>69</v>
      </c>
      <c r="BV33" t="s">
        <v>69</v>
      </c>
      <c r="BW33">
        <v>380</v>
      </c>
      <c r="BX33" t="s">
        <v>147</v>
      </c>
      <c r="BY33" t="s">
        <v>69</v>
      </c>
      <c r="BZ33" t="s">
        <v>148</v>
      </c>
      <c r="CA33" t="s">
        <v>69</v>
      </c>
      <c r="CB33">
        <v>146.14599999999999</v>
      </c>
      <c r="CC33" t="s">
        <v>69</v>
      </c>
      <c r="CD33" t="s">
        <v>69</v>
      </c>
      <c r="CE33">
        <v>381</v>
      </c>
      <c r="CF33" t="s">
        <v>72</v>
      </c>
      <c r="CG33" t="s">
        <v>69</v>
      </c>
      <c r="CH33" t="s">
        <v>71</v>
      </c>
      <c r="CI33" t="s">
        <v>69</v>
      </c>
      <c r="CJ33">
        <v>131.17500000000001</v>
      </c>
      <c r="CK33" t="s">
        <v>69</v>
      </c>
      <c r="CL33" t="s">
        <v>69</v>
      </c>
      <c r="CM33">
        <v>383</v>
      </c>
      <c r="CN33" t="s">
        <v>145</v>
      </c>
      <c r="CO33" t="s">
        <v>69</v>
      </c>
      <c r="CP33" t="s">
        <v>71</v>
      </c>
      <c r="CQ33" t="s">
        <v>69</v>
      </c>
      <c r="CR33">
        <v>131.17500000000001</v>
      </c>
      <c r="CS33" t="s">
        <v>69</v>
      </c>
      <c r="CT33" t="s">
        <v>69</v>
      </c>
      <c r="CU33">
        <v>385</v>
      </c>
      <c r="CV33" t="s">
        <v>72</v>
      </c>
      <c r="CW33" t="s">
        <v>69</v>
      </c>
      <c r="CX33" t="s">
        <v>71</v>
      </c>
      <c r="CY33" t="s">
        <v>69</v>
      </c>
      <c r="CZ33">
        <v>131.17500000000001</v>
      </c>
      <c r="DA33" t="s">
        <v>69</v>
      </c>
      <c r="DB33" t="s">
        <v>69</v>
      </c>
      <c r="DC33">
        <v>414</v>
      </c>
      <c r="DD33" t="s">
        <v>151</v>
      </c>
      <c r="DE33" t="s">
        <v>69</v>
      </c>
      <c r="DF33" t="s">
        <v>152</v>
      </c>
      <c r="DG33" t="s">
        <v>69</v>
      </c>
      <c r="DH33">
        <v>165.19200000000001</v>
      </c>
      <c r="DI33" t="s">
        <v>69</v>
      </c>
      <c r="DJ33" t="s">
        <v>69</v>
      </c>
      <c r="DK33">
        <v>451</v>
      </c>
      <c r="DL33" t="s">
        <v>73</v>
      </c>
      <c r="DM33" t="s">
        <v>69</v>
      </c>
      <c r="DN33" t="s">
        <v>71</v>
      </c>
      <c r="DO33" t="s">
        <v>69</v>
      </c>
      <c r="DP33">
        <v>89.093999999999994</v>
      </c>
      <c r="DQ33" t="s">
        <v>69</v>
      </c>
      <c r="DR33" t="s">
        <v>69</v>
      </c>
      <c r="DS33">
        <v>452</v>
      </c>
      <c r="DT33" t="s">
        <v>72</v>
      </c>
      <c r="DU33" t="s">
        <v>69</v>
      </c>
      <c r="DV33" t="s">
        <v>71</v>
      </c>
      <c r="DW33" t="s">
        <v>69</v>
      </c>
      <c r="DX33">
        <v>131.17500000000001</v>
      </c>
      <c r="DY33" t="s">
        <v>69</v>
      </c>
      <c r="DZ33" t="s">
        <v>69</v>
      </c>
      <c r="EA33">
        <v>482</v>
      </c>
      <c r="EB33" t="s">
        <v>149</v>
      </c>
      <c r="EC33" t="s">
        <v>69</v>
      </c>
      <c r="ED33" t="s">
        <v>150</v>
      </c>
      <c r="EE33" t="s">
        <v>69</v>
      </c>
      <c r="EF33">
        <v>119.119</v>
      </c>
      <c r="EG33" t="s">
        <v>69</v>
      </c>
      <c r="EH33" t="s">
        <v>69</v>
      </c>
      <c r="EI33">
        <v>486</v>
      </c>
      <c r="EJ33" t="s">
        <v>157</v>
      </c>
      <c r="EK33" t="s">
        <v>69</v>
      </c>
      <c r="EL33" t="s">
        <v>75</v>
      </c>
      <c r="EM33" t="s">
        <v>69</v>
      </c>
      <c r="EN33">
        <v>155.15600000000001</v>
      </c>
      <c r="EO33" t="s">
        <v>69</v>
      </c>
      <c r="EP33" t="s">
        <v>69</v>
      </c>
      <c r="EQ33">
        <v>489</v>
      </c>
      <c r="ER33" t="s">
        <v>72</v>
      </c>
      <c r="ES33" t="s">
        <v>69</v>
      </c>
      <c r="ET33" t="s">
        <v>71</v>
      </c>
      <c r="EU33" t="s">
        <v>69</v>
      </c>
      <c r="EV33">
        <v>131.17500000000001</v>
      </c>
      <c r="EW33" t="s">
        <v>69</v>
      </c>
      <c r="EX33" t="s">
        <v>69</v>
      </c>
      <c r="EY33">
        <v>492</v>
      </c>
      <c r="EZ33" t="s">
        <v>72</v>
      </c>
      <c r="FA33" t="s">
        <v>69</v>
      </c>
      <c r="FB33" t="s">
        <v>71</v>
      </c>
      <c r="FC33" t="s">
        <v>69</v>
      </c>
      <c r="FD33">
        <v>131.17500000000001</v>
      </c>
      <c r="FE33" t="s">
        <v>69</v>
      </c>
      <c r="FF33" t="s">
        <v>69</v>
      </c>
      <c r="FG33">
        <v>493</v>
      </c>
      <c r="FH33" t="s">
        <v>147</v>
      </c>
      <c r="FI33" t="s">
        <v>69</v>
      </c>
      <c r="FJ33" t="s">
        <v>148</v>
      </c>
      <c r="FK33" t="s">
        <v>69</v>
      </c>
      <c r="FL33">
        <v>146.14599999999999</v>
      </c>
      <c r="FM33" t="s">
        <v>69</v>
      </c>
      <c r="FN33" t="s">
        <v>69</v>
      </c>
      <c r="FO33">
        <v>517</v>
      </c>
      <c r="FP33" t="s">
        <v>151</v>
      </c>
      <c r="FQ33" t="s">
        <v>69</v>
      </c>
      <c r="FR33" t="s">
        <v>152</v>
      </c>
      <c r="FS33" t="s">
        <v>69</v>
      </c>
      <c r="FT33">
        <v>165.19200000000001</v>
      </c>
      <c r="FU33" t="s">
        <v>69</v>
      </c>
      <c r="FV33" t="s">
        <v>69</v>
      </c>
      <c r="FW33">
        <v>520</v>
      </c>
      <c r="FX33" t="s">
        <v>119</v>
      </c>
      <c r="FY33" t="s">
        <v>69</v>
      </c>
      <c r="FZ33" t="s">
        <v>120</v>
      </c>
      <c r="GA33" t="s">
        <v>69</v>
      </c>
      <c r="GB33">
        <v>147.131</v>
      </c>
      <c r="GC33" t="s">
        <v>69</v>
      </c>
      <c r="GD33" t="s">
        <v>69</v>
      </c>
      <c r="GE33">
        <v>521</v>
      </c>
      <c r="GF33" t="s">
        <v>149</v>
      </c>
      <c r="GG33" t="s">
        <v>69</v>
      </c>
      <c r="GH33" t="s">
        <v>150</v>
      </c>
      <c r="GI33" t="s">
        <v>69</v>
      </c>
      <c r="GJ33">
        <v>119.119</v>
      </c>
      <c r="GK33" t="s">
        <v>69</v>
      </c>
      <c r="GL33" t="s">
        <v>69</v>
      </c>
      <c r="GM33">
        <v>524</v>
      </c>
      <c r="GN33" t="s">
        <v>149</v>
      </c>
      <c r="GO33" t="s">
        <v>69</v>
      </c>
      <c r="GP33" t="s">
        <v>150</v>
      </c>
      <c r="GQ33" t="s">
        <v>69</v>
      </c>
      <c r="GR33">
        <v>119.119</v>
      </c>
      <c r="GS33" t="s">
        <v>69</v>
      </c>
      <c r="GT33" t="s">
        <v>69</v>
      </c>
      <c r="GU33">
        <v>528</v>
      </c>
      <c r="GV33" t="s">
        <v>147</v>
      </c>
      <c r="GW33" t="s">
        <v>69</v>
      </c>
      <c r="GX33" t="s">
        <v>148</v>
      </c>
      <c r="GY33" t="s">
        <v>69</v>
      </c>
      <c r="GZ33">
        <v>146.14599999999999</v>
      </c>
      <c r="HA33" t="s">
        <v>69</v>
      </c>
      <c r="HB33" t="s">
        <v>69</v>
      </c>
      <c r="HC33">
        <v>530</v>
      </c>
      <c r="HD33" t="s">
        <v>70</v>
      </c>
      <c r="HE33" t="s">
        <v>69</v>
      </c>
      <c r="HF33" t="s">
        <v>71</v>
      </c>
      <c r="HG33" t="s">
        <v>69</v>
      </c>
      <c r="HH33">
        <v>75.066999999999993</v>
      </c>
      <c r="HI33" t="s">
        <v>69</v>
      </c>
      <c r="HJ33" t="s">
        <v>69</v>
      </c>
      <c r="HK33">
        <v>532</v>
      </c>
      <c r="HL33" t="s">
        <v>72</v>
      </c>
      <c r="HM33" t="s">
        <v>153</v>
      </c>
      <c r="HN33" t="s">
        <v>71</v>
      </c>
      <c r="HO33" t="s">
        <v>153</v>
      </c>
      <c r="HP33">
        <v>131.17500000000001</v>
      </c>
      <c r="HQ33" t="s">
        <v>69</v>
      </c>
      <c r="HR33" t="s">
        <v>69</v>
      </c>
      <c r="HS33">
        <v>550</v>
      </c>
      <c r="HT33" t="s">
        <v>116</v>
      </c>
      <c r="HU33" t="s">
        <v>69</v>
      </c>
      <c r="HV33" t="s">
        <v>117</v>
      </c>
      <c r="HW33" t="s">
        <v>69</v>
      </c>
      <c r="HX33">
        <v>149.208</v>
      </c>
      <c r="HY33" t="s">
        <v>69</v>
      </c>
      <c r="HZ33" t="s">
        <v>69</v>
      </c>
      <c r="IA33">
        <v>554</v>
      </c>
      <c r="IB33" t="s">
        <v>157</v>
      </c>
      <c r="IC33" t="s">
        <v>69</v>
      </c>
      <c r="ID33" t="s">
        <v>75</v>
      </c>
      <c r="IE33" t="s">
        <v>69</v>
      </c>
      <c r="IF33">
        <v>155.15600000000001</v>
      </c>
      <c r="IG33" t="s">
        <v>69</v>
      </c>
      <c r="IH33" t="s">
        <v>69</v>
      </c>
      <c r="II33">
        <v>558</v>
      </c>
      <c r="IJ33" t="s">
        <v>72</v>
      </c>
      <c r="IK33" t="s">
        <v>69</v>
      </c>
      <c r="IL33" t="s">
        <v>71</v>
      </c>
      <c r="IM33" t="s">
        <v>69</v>
      </c>
      <c r="IN33">
        <v>131.17500000000001</v>
      </c>
      <c r="IO33" t="s">
        <v>69</v>
      </c>
      <c r="IP33" t="s">
        <v>69</v>
      </c>
      <c r="IQ33">
        <v>561</v>
      </c>
      <c r="IR33" t="s">
        <v>73</v>
      </c>
      <c r="IS33" t="s">
        <v>69</v>
      </c>
      <c r="IT33" t="s">
        <v>71</v>
      </c>
      <c r="IU33" t="s">
        <v>69</v>
      </c>
      <c r="IV33">
        <v>89.093999999999994</v>
      </c>
      <c r="IW33" t="s">
        <v>69</v>
      </c>
      <c r="IX33" t="s">
        <v>69</v>
      </c>
      <c r="IY33">
        <v>562</v>
      </c>
      <c r="IZ33" t="s">
        <v>73</v>
      </c>
      <c r="JA33" t="s">
        <v>69</v>
      </c>
      <c r="JB33" t="s">
        <v>71</v>
      </c>
      <c r="JC33" t="s">
        <v>69</v>
      </c>
      <c r="JD33">
        <v>89.093999999999994</v>
      </c>
      <c r="JE33" t="s">
        <v>69</v>
      </c>
      <c r="JF33" t="s">
        <v>69</v>
      </c>
      <c r="JG33">
        <v>569</v>
      </c>
      <c r="JH33" t="s">
        <v>73</v>
      </c>
      <c r="JI33" t="s">
        <v>69</v>
      </c>
      <c r="JJ33" t="s">
        <v>71</v>
      </c>
      <c r="JK33" t="s">
        <v>69</v>
      </c>
      <c r="JL33">
        <v>89.093999999999994</v>
      </c>
      <c r="JM33" t="s">
        <v>69</v>
      </c>
      <c r="JN33" t="s">
        <v>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
  <sheetViews>
    <sheetView workbookViewId="0"/>
  </sheetViews>
  <sheetFormatPr defaultRowHeight="15" x14ac:dyDescent="0.25"/>
  <cols>
    <col min="8" max="8" width="49.42578125" customWidth="1"/>
  </cols>
  <sheetData>
    <row r="1" spans="1:3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row>
    <row r="2" spans="1:34" x14ac:dyDescent="0.25">
      <c r="A2">
        <v>7</v>
      </c>
      <c r="B2" t="str">
        <f>HYPERLINK("http://www.ncbi.nlm.nih.gov/protein/NP_002943.2","NP_002943.2")</f>
        <v>NP_002943.2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HYPERLINK("http://www.ncbi.nlm.nih.gov/protein/NP_002943.2","40S ribosomal protein S2")</f>
        <v>40S ribosomal protein S2</v>
      </c>
      <c r="I2" t="s">
        <v>118</v>
      </c>
      <c r="J2" t="s">
        <v>69</v>
      </c>
      <c r="K2">
        <v>106</v>
      </c>
      <c r="L2" t="s">
        <v>115</v>
      </c>
      <c r="M2" t="s">
        <v>69</v>
      </c>
      <c r="N2" t="s">
        <v>71</v>
      </c>
      <c r="O2" t="s">
        <v>69</v>
      </c>
      <c r="P2">
        <v>117.148</v>
      </c>
      <c r="Q2" t="s">
        <v>69</v>
      </c>
      <c r="R2" t="s">
        <v>69</v>
      </c>
      <c r="S2">
        <v>146</v>
      </c>
      <c r="T2" t="s">
        <v>119</v>
      </c>
      <c r="U2" t="s">
        <v>69</v>
      </c>
      <c r="V2" t="s">
        <v>120</v>
      </c>
      <c r="W2" t="s">
        <v>69</v>
      </c>
      <c r="X2">
        <v>147.131</v>
      </c>
      <c r="Y2" t="s">
        <v>69</v>
      </c>
      <c r="Z2" t="s">
        <v>69</v>
      </c>
      <c r="AA2">
        <v>147</v>
      </c>
      <c r="AB2" t="s">
        <v>115</v>
      </c>
      <c r="AC2" t="s">
        <v>69</v>
      </c>
      <c r="AD2" t="s">
        <v>71</v>
      </c>
      <c r="AE2" t="s">
        <v>69</v>
      </c>
      <c r="AF2">
        <v>117.148</v>
      </c>
      <c r="AG2" t="s">
        <v>69</v>
      </c>
      <c r="AH2" t="s">
        <v>69</v>
      </c>
    </row>
    <row r="3" spans="1:34" x14ac:dyDescent="0.25">
      <c r="A3">
        <v>7</v>
      </c>
      <c r="B3" t="str">
        <f>HYPERLINK("http://www.ncbi.nlm.nih.gov/protein/XP_014980818.1","XP_014980818.1")</f>
        <v>XP_014980818.1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HYPERLINK("http://www.ncbi.nlm.nih.gov/protein/XP_014980818.1","40S ribosomal protein S2 isoform X1")</f>
        <v>40S ribosomal protein S2 isoform X1</v>
      </c>
      <c r="I3" t="s">
        <v>118</v>
      </c>
      <c r="J3" t="s">
        <v>69</v>
      </c>
      <c r="K3">
        <v>106</v>
      </c>
      <c r="L3" t="s">
        <v>115</v>
      </c>
      <c r="M3" t="s">
        <v>69</v>
      </c>
      <c r="N3" t="s">
        <v>71</v>
      </c>
      <c r="O3" t="s">
        <v>69</v>
      </c>
      <c r="P3">
        <v>117.148</v>
      </c>
      <c r="Q3" t="s">
        <v>69</v>
      </c>
      <c r="R3" t="s">
        <v>69</v>
      </c>
      <c r="S3">
        <v>146</v>
      </c>
      <c r="T3" t="s">
        <v>119</v>
      </c>
      <c r="U3" t="s">
        <v>69</v>
      </c>
      <c r="V3" t="s">
        <v>120</v>
      </c>
      <c r="W3" t="s">
        <v>69</v>
      </c>
      <c r="X3">
        <v>147.131</v>
      </c>
      <c r="Y3" t="s">
        <v>69</v>
      </c>
      <c r="Z3" t="s">
        <v>69</v>
      </c>
      <c r="AA3">
        <v>147</v>
      </c>
      <c r="AB3" t="s">
        <v>115</v>
      </c>
      <c r="AC3" t="s">
        <v>69</v>
      </c>
      <c r="AD3" t="s">
        <v>71</v>
      </c>
      <c r="AE3" t="s">
        <v>69</v>
      </c>
      <c r="AF3">
        <v>117.148</v>
      </c>
      <c r="AG3" t="s">
        <v>69</v>
      </c>
      <c r="AH3" t="s">
        <v>69</v>
      </c>
    </row>
    <row r="4" spans="1:34" x14ac:dyDescent="0.25">
      <c r="A4">
        <v>7</v>
      </c>
      <c r="B4" t="str">
        <f>HYPERLINK("http://www.ncbi.nlm.nih.gov/protein/XP_007980164.1","XP_007980164.1")</f>
        <v>XP_007980164.1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HYPERLINK("http://www.ncbi.nlm.nih.gov/protein/XP_007980164.1","40S ribosomal protein S2 isoform X1")</f>
        <v>40S ribosomal protein S2 isoform X1</v>
      </c>
      <c r="I4" t="s">
        <v>118</v>
      </c>
      <c r="J4" t="s">
        <v>69</v>
      </c>
      <c r="K4">
        <v>106</v>
      </c>
      <c r="L4" t="s">
        <v>115</v>
      </c>
      <c r="M4" t="s">
        <v>69</v>
      </c>
      <c r="N4" t="s">
        <v>71</v>
      </c>
      <c r="O4" t="s">
        <v>69</v>
      </c>
      <c r="P4">
        <v>117.148</v>
      </c>
      <c r="Q4" t="s">
        <v>69</v>
      </c>
      <c r="R4" t="s">
        <v>69</v>
      </c>
      <c r="S4">
        <v>146</v>
      </c>
      <c r="T4" t="s">
        <v>119</v>
      </c>
      <c r="U4" t="s">
        <v>69</v>
      </c>
      <c r="V4" t="s">
        <v>120</v>
      </c>
      <c r="W4" t="s">
        <v>69</v>
      </c>
      <c r="X4">
        <v>147.131</v>
      </c>
      <c r="Y4" t="s">
        <v>69</v>
      </c>
      <c r="Z4" t="s">
        <v>69</v>
      </c>
      <c r="AA4">
        <v>147</v>
      </c>
      <c r="AB4" t="s">
        <v>115</v>
      </c>
      <c r="AC4" t="s">
        <v>69</v>
      </c>
      <c r="AD4" t="s">
        <v>71</v>
      </c>
      <c r="AE4" t="s">
        <v>69</v>
      </c>
      <c r="AF4">
        <v>117.148</v>
      </c>
      <c r="AG4" t="s">
        <v>69</v>
      </c>
      <c r="AH4" t="s">
        <v>69</v>
      </c>
    </row>
    <row r="5" spans="1:34" x14ac:dyDescent="0.25">
      <c r="A5">
        <v>7</v>
      </c>
      <c r="B5" t="str">
        <f>HYPERLINK("http://www.ncbi.nlm.nih.gov/protein/XP_004057030.1","XP_004057030.1")</f>
        <v>XP_004057030.1</v>
      </c>
      <c r="C5">
        <v>52137</v>
      </c>
      <c r="D5" t="str">
        <f>HYPERLINK("http://www.ncbi.nlm.nih.gov/Taxonomy/Browser/wwwtax.cgi?mode=Info&amp;id=9595&amp;lvl=3&amp;lin=f&amp;keep=1&amp;srchmode=1&amp;unlock","9595")</f>
        <v>9595</v>
      </c>
      <c r="E5" t="s">
        <v>66</v>
      </c>
      <c r="F5" t="str">
        <f>HYPERLINK("http://www.ncbi.nlm.nih.gov/Taxonomy/Browser/wwwtax.cgi?mode=Info&amp;id=9595&amp;lvl=3&amp;lin=f&amp;keep=1&amp;srchmode=1&amp;unlock","Gorilla gorilla gorilla")</f>
        <v>Gorilla gorilla gorilla</v>
      </c>
      <c r="G5" t="s">
        <v>79</v>
      </c>
      <c r="H5" t="str">
        <f>HYPERLINK("http://www.ncbi.nlm.nih.gov/protein/XP_004057030.1","40S ribosomal protein S2")</f>
        <v>40S ribosomal protein S2</v>
      </c>
      <c r="I5" t="s">
        <v>118</v>
      </c>
      <c r="J5" t="s">
        <v>69</v>
      </c>
      <c r="K5">
        <v>106</v>
      </c>
      <c r="L5" t="s">
        <v>115</v>
      </c>
      <c r="M5" t="s">
        <v>69</v>
      </c>
      <c r="N5" t="s">
        <v>71</v>
      </c>
      <c r="O5" t="s">
        <v>69</v>
      </c>
      <c r="P5">
        <v>117.148</v>
      </c>
      <c r="Q5" t="s">
        <v>69</v>
      </c>
      <c r="R5" t="s">
        <v>69</v>
      </c>
      <c r="S5">
        <v>146</v>
      </c>
      <c r="T5" t="s">
        <v>119</v>
      </c>
      <c r="U5" t="s">
        <v>69</v>
      </c>
      <c r="V5" t="s">
        <v>120</v>
      </c>
      <c r="W5" t="s">
        <v>69</v>
      </c>
      <c r="X5">
        <v>147.131</v>
      </c>
      <c r="Y5" t="s">
        <v>69</v>
      </c>
      <c r="Z5" t="s">
        <v>69</v>
      </c>
      <c r="AA5">
        <v>147</v>
      </c>
      <c r="AB5" t="s">
        <v>115</v>
      </c>
      <c r="AC5" t="s">
        <v>69</v>
      </c>
      <c r="AD5" t="s">
        <v>71</v>
      </c>
      <c r="AE5" t="s">
        <v>69</v>
      </c>
      <c r="AF5">
        <v>117.148</v>
      </c>
      <c r="AG5" t="s">
        <v>69</v>
      </c>
      <c r="AH5" t="s">
        <v>69</v>
      </c>
    </row>
    <row r="6" spans="1:34" x14ac:dyDescent="0.25">
      <c r="A6">
        <v>7</v>
      </c>
      <c r="B6" t="str">
        <f>HYPERLINK("http://www.ncbi.nlm.nih.gov/protein/XP_021787339.2","XP_021787339.2")</f>
        <v>XP_021787339.2</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HYPERLINK("http://www.ncbi.nlm.nih.gov/protein/XP_021787339.2","40S ribosomal protein S2")</f>
        <v>40S ribosomal protein S2</v>
      </c>
      <c r="I6" t="s">
        <v>118</v>
      </c>
      <c r="J6" t="s">
        <v>69</v>
      </c>
      <c r="K6">
        <v>106</v>
      </c>
      <c r="L6" t="s">
        <v>115</v>
      </c>
      <c r="M6" t="s">
        <v>69</v>
      </c>
      <c r="N6" t="s">
        <v>71</v>
      </c>
      <c r="O6" t="s">
        <v>69</v>
      </c>
      <c r="P6">
        <v>117.148</v>
      </c>
      <c r="Q6" t="s">
        <v>69</v>
      </c>
      <c r="R6" t="s">
        <v>69</v>
      </c>
      <c r="S6">
        <v>146</v>
      </c>
      <c r="T6" t="s">
        <v>119</v>
      </c>
      <c r="U6" t="s">
        <v>69</v>
      </c>
      <c r="V6" t="s">
        <v>120</v>
      </c>
      <c r="W6" t="s">
        <v>69</v>
      </c>
      <c r="X6">
        <v>147.131</v>
      </c>
      <c r="Y6" t="s">
        <v>69</v>
      </c>
      <c r="Z6" t="s">
        <v>69</v>
      </c>
      <c r="AA6">
        <v>147</v>
      </c>
      <c r="AB6" t="s">
        <v>115</v>
      </c>
      <c r="AC6" t="s">
        <v>69</v>
      </c>
      <c r="AD6" t="s">
        <v>71</v>
      </c>
      <c r="AE6" t="s">
        <v>69</v>
      </c>
      <c r="AF6">
        <v>117.148</v>
      </c>
      <c r="AG6" t="s">
        <v>69</v>
      </c>
      <c r="AH6" t="s">
        <v>69</v>
      </c>
    </row>
    <row r="7" spans="1:34" x14ac:dyDescent="0.25">
      <c r="A7">
        <v>7</v>
      </c>
      <c r="B7" t="str">
        <f>HYPERLINK("http://www.ncbi.nlm.nih.gov/protein/4D5L_C","4D5L_C")</f>
        <v>4D5L_C</v>
      </c>
      <c r="C7">
        <v>53150</v>
      </c>
      <c r="D7" t="str">
        <f>HYPERLINK("http://www.ncbi.nlm.nih.gov/Taxonomy/Browser/wwwtax.cgi?mode=Info&amp;id=9986&amp;lvl=3&amp;lin=f&amp;keep=1&amp;srchmode=1&amp;unlock","9986")</f>
        <v>9986</v>
      </c>
      <c r="E7" t="s">
        <v>66</v>
      </c>
      <c r="F7" t="str">
        <f>HYPERLINK("http://www.ncbi.nlm.nih.gov/Taxonomy/Browser/wwwtax.cgi?mode=Info&amp;id=9986&amp;lvl=3&amp;lin=f&amp;keep=1&amp;srchmode=1&amp;unlock","Oryctolagus cuniculus")</f>
        <v>Oryctolagus cuniculus</v>
      </c>
      <c r="G7" t="s">
        <v>83</v>
      </c>
      <c r="H7" t="str">
        <f>HYPERLINK("http://www.ncbi.nlm.nih.gov/protein/4D5L_C","Cryo-EM structures of ribosomal 80S complexes with termination factors and cricket paralysis virus IRES reveal the IRES in the translocated state")</f>
        <v>Cryo-EM structures of ribosomal 80S complexes with termination factors and cricket paralysis virus IRES reveal the IRES in the translocated state</v>
      </c>
      <c r="I7" t="s">
        <v>118</v>
      </c>
      <c r="J7" t="s">
        <v>69</v>
      </c>
      <c r="K7">
        <v>106</v>
      </c>
      <c r="L7" t="s">
        <v>115</v>
      </c>
      <c r="M7" t="s">
        <v>69</v>
      </c>
      <c r="N7" t="s">
        <v>71</v>
      </c>
      <c r="O7" t="s">
        <v>69</v>
      </c>
      <c r="P7">
        <v>117.148</v>
      </c>
      <c r="Q7" t="s">
        <v>69</v>
      </c>
      <c r="R7" t="s">
        <v>69</v>
      </c>
      <c r="S7">
        <v>146</v>
      </c>
      <c r="T7" t="s">
        <v>119</v>
      </c>
      <c r="U7" t="s">
        <v>69</v>
      </c>
      <c r="V7" t="s">
        <v>120</v>
      </c>
      <c r="W7" t="s">
        <v>69</v>
      </c>
      <c r="X7">
        <v>147.131</v>
      </c>
      <c r="Y7" t="s">
        <v>69</v>
      </c>
      <c r="Z7" t="s">
        <v>69</v>
      </c>
      <c r="AA7">
        <v>147</v>
      </c>
      <c r="AB7" t="s">
        <v>115</v>
      </c>
      <c r="AC7" t="s">
        <v>69</v>
      </c>
      <c r="AD7" t="s">
        <v>71</v>
      </c>
      <c r="AE7" t="s">
        <v>69</v>
      </c>
      <c r="AF7">
        <v>117.148</v>
      </c>
      <c r="AG7" t="s">
        <v>69</v>
      </c>
      <c r="AH7" t="s">
        <v>69</v>
      </c>
    </row>
    <row r="8" spans="1:34" x14ac:dyDescent="0.25">
      <c r="A8">
        <v>7</v>
      </c>
      <c r="B8" t="str">
        <f>HYPERLINK("http://www.ncbi.nlm.nih.gov/protein/XP_002755853.1","XP_002755853.1")</f>
        <v>XP_002755853.1</v>
      </c>
      <c r="C8">
        <v>87664</v>
      </c>
      <c r="D8" t="str">
        <f>HYPERLINK("http://www.ncbi.nlm.nih.gov/Taxonomy/Browser/wwwtax.cgi?mode=Info&amp;id=9483&amp;lvl=3&amp;lin=f&amp;keep=1&amp;srchmode=1&amp;unlock","9483")</f>
        <v>9483</v>
      </c>
      <c r="E8" t="s">
        <v>66</v>
      </c>
      <c r="F8" t="str">
        <f>HYPERLINK("http://www.ncbi.nlm.nih.gov/Taxonomy/Browser/wwwtax.cgi?mode=Info&amp;id=9483&amp;lvl=3&amp;lin=f&amp;keep=1&amp;srchmode=1&amp;unlock","Callithrix jacchus")</f>
        <v>Callithrix jacchus</v>
      </c>
      <c r="G8" t="s">
        <v>106</v>
      </c>
      <c r="H8" t="str">
        <f>HYPERLINK("http://www.ncbi.nlm.nih.gov/protein/XP_002755853.1","40S ribosomal protein S2")</f>
        <v>40S ribosomal protein S2</v>
      </c>
      <c r="I8" t="s">
        <v>118</v>
      </c>
      <c r="J8" t="s">
        <v>69</v>
      </c>
      <c r="K8">
        <v>106</v>
      </c>
      <c r="L8" t="s">
        <v>115</v>
      </c>
      <c r="M8" t="s">
        <v>69</v>
      </c>
      <c r="N8" t="s">
        <v>71</v>
      </c>
      <c r="O8" t="s">
        <v>69</v>
      </c>
      <c r="P8">
        <v>117.148</v>
      </c>
      <c r="Q8" t="s">
        <v>69</v>
      </c>
      <c r="R8" t="s">
        <v>69</v>
      </c>
      <c r="S8">
        <v>146</v>
      </c>
      <c r="T8" t="s">
        <v>119</v>
      </c>
      <c r="U8" t="s">
        <v>69</v>
      </c>
      <c r="V8" t="s">
        <v>120</v>
      </c>
      <c r="W8" t="s">
        <v>69</v>
      </c>
      <c r="X8">
        <v>147.131</v>
      </c>
      <c r="Y8" t="s">
        <v>69</v>
      </c>
      <c r="Z8" t="s">
        <v>69</v>
      </c>
      <c r="AA8">
        <v>147</v>
      </c>
      <c r="AB8" t="s">
        <v>115</v>
      </c>
      <c r="AC8" t="s">
        <v>69</v>
      </c>
      <c r="AD8" t="s">
        <v>71</v>
      </c>
      <c r="AE8" t="s">
        <v>69</v>
      </c>
      <c r="AF8">
        <v>117.148</v>
      </c>
      <c r="AG8" t="s">
        <v>69</v>
      </c>
      <c r="AH8" t="s">
        <v>69</v>
      </c>
    </row>
    <row r="9" spans="1:34" x14ac:dyDescent="0.25">
      <c r="A9">
        <v>7</v>
      </c>
      <c r="B9" t="str">
        <f>HYPERLINK("http://www.ncbi.nlm.nih.gov/protein/XP_042827256.1","XP_042827256.1")</f>
        <v>XP_042827256.1</v>
      </c>
      <c r="C9">
        <v>56089</v>
      </c>
      <c r="D9" t="str">
        <f>HYPERLINK("http://www.ncbi.nlm.nih.gov/Taxonomy/Browser/wwwtax.cgi?mode=Info&amp;id=9694&amp;lvl=3&amp;lin=f&amp;keep=1&amp;srchmode=1&amp;unlock","9694")</f>
        <v>9694</v>
      </c>
      <c r="E9" t="s">
        <v>66</v>
      </c>
      <c r="F9" t="str">
        <f>HYPERLINK("http://www.ncbi.nlm.nih.gov/Taxonomy/Browser/wwwtax.cgi?mode=Info&amp;id=9694&amp;lvl=3&amp;lin=f&amp;keep=1&amp;srchmode=1&amp;unlock","Panthera tigris")</f>
        <v>Panthera tigris</v>
      </c>
      <c r="G9" t="s">
        <v>89</v>
      </c>
      <c r="H9" t="str">
        <f>HYPERLINK("http://www.ncbi.nlm.nih.gov/protein/XP_042827256.1","40S ribosomal protein S2")</f>
        <v>40S ribosomal protein S2</v>
      </c>
      <c r="I9" t="s">
        <v>118</v>
      </c>
      <c r="J9" t="s">
        <v>69</v>
      </c>
      <c r="K9">
        <v>106</v>
      </c>
      <c r="L9" t="s">
        <v>115</v>
      </c>
      <c r="M9" t="s">
        <v>69</v>
      </c>
      <c r="N9" t="s">
        <v>71</v>
      </c>
      <c r="O9" t="s">
        <v>69</v>
      </c>
      <c r="P9">
        <v>117.148</v>
      </c>
      <c r="Q9" t="s">
        <v>69</v>
      </c>
      <c r="R9" t="s">
        <v>69</v>
      </c>
      <c r="S9">
        <v>146</v>
      </c>
      <c r="T9" t="s">
        <v>119</v>
      </c>
      <c r="U9" t="s">
        <v>69</v>
      </c>
      <c r="V9" t="s">
        <v>120</v>
      </c>
      <c r="W9" t="s">
        <v>69</v>
      </c>
      <c r="X9">
        <v>147.131</v>
      </c>
      <c r="Y9" t="s">
        <v>69</v>
      </c>
      <c r="Z9" t="s">
        <v>69</v>
      </c>
      <c r="AA9">
        <v>147</v>
      </c>
      <c r="AB9" t="s">
        <v>115</v>
      </c>
      <c r="AC9" t="s">
        <v>69</v>
      </c>
      <c r="AD9" t="s">
        <v>71</v>
      </c>
      <c r="AE9" t="s">
        <v>69</v>
      </c>
      <c r="AF9">
        <v>117.148</v>
      </c>
      <c r="AG9" t="s">
        <v>69</v>
      </c>
      <c r="AH9" t="s">
        <v>69</v>
      </c>
    </row>
    <row r="10" spans="1:34" x14ac:dyDescent="0.25">
      <c r="A10">
        <v>7</v>
      </c>
      <c r="B10" t="str">
        <f>HYPERLINK("http://www.ncbi.nlm.nih.gov/protein/XP_042777489.1","XP_042777489.1")</f>
        <v>XP_042777489.1</v>
      </c>
      <c r="C10">
        <v>53677</v>
      </c>
      <c r="D10" t="str">
        <f>HYPERLINK("http://www.ncbi.nlm.nih.gov/Taxonomy/Browser/wwwtax.cgi?mode=Info&amp;id=9689&amp;lvl=3&amp;lin=f&amp;keep=1&amp;srchmode=1&amp;unlock","9689")</f>
        <v>9689</v>
      </c>
      <c r="E10" t="s">
        <v>66</v>
      </c>
      <c r="F10" t="str">
        <f>HYPERLINK("http://www.ncbi.nlm.nih.gov/Taxonomy/Browser/wwwtax.cgi?mode=Info&amp;id=9689&amp;lvl=3&amp;lin=f&amp;keep=1&amp;srchmode=1&amp;unlock","Panthera leo")</f>
        <v>Panthera leo</v>
      </c>
      <c r="G10" t="s">
        <v>90</v>
      </c>
      <c r="H10" t="str">
        <f>HYPERLINK("http://www.ncbi.nlm.nih.gov/protein/XP_042777489.1","40S ribosomal protein S2")</f>
        <v>40S ribosomal protein S2</v>
      </c>
      <c r="I10" t="s">
        <v>118</v>
      </c>
      <c r="J10" t="s">
        <v>69</v>
      </c>
      <c r="K10">
        <v>106</v>
      </c>
      <c r="L10" t="s">
        <v>115</v>
      </c>
      <c r="M10" t="s">
        <v>69</v>
      </c>
      <c r="N10" t="s">
        <v>71</v>
      </c>
      <c r="O10" t="s">
        <v>69</v>
      </c>
      <c r="P10">
        <v>117.148</v>
      </c>
      <c r="Q10" t="s">
        <v>69</v>
      </c>
      <c r="R10" t="s">
        <v>69</v>
      </c>
      <c r="S10">
        <v>146</v>
      </c>
      <c r="T10" t="s">
        <v>119</v>
      </c>
      <c r="U10" t="s">
        <v>69</v>
      </c>
      <c r="V10" t="s">
        <v>120</v>
      </c>
      <c r="W10" t="s">
        <v>69</v>
      </c>
      <c r="X10">
        <v>147.131</v>
      </c>
      <c r="Y10" t="s">
        <v>69</v>
      </c>
      <c r="Z10" t="s">
        <v>69</v>
      </c>
      <c r="AA10">
        <v>147</v>
      </c>
      <c r="AB10" t="s">
        <v>115</v>
      </c>
      <c r="AC10" t="s">
        <v>69</v>
      </c>
      <c r="AD10" t="s">
        <v>71</v>
      </c>
      <c r="AE10" t="s">
        <v>69</v>
      </c>
      <c r="AF10">
        <v>117.148</v>
      </c>
      <c r="AG10" t="s">
        <v>69</v>
      </c>
      <c r="AH10" t="s">
        <v>69</v>
      </c>
    </row>
    <row r="11" spans="1:34" x14ac:dyDescent="0.25">
      <c r="A11">
        <v>7</v>
      </c>
      <c r="B11" t="str">
        <f>HYPERLINK("http://www.ncbi.nlm.nih.gov/protein/XP_023102930.1","XP_023102930.1")</f>
        <v>XP_023102930.1</v>
      </c>
      <c r="C11">
        <v>74287</v>
      </c>
      <c r="D11" t="str">
        <f>HYPERLINK("http://www.ncbi.nlm.nih.gov/Taxonomy/Browser/wwwtax.cgi?mode=Info&amp;id=9685&amp;lvl=3&amp;lin=f&amp;keep=1&amp;srchmode=1&amp;unlock","9685")</f>
        <v>9685</v>
      </c>
      <c r="E11" t="s">
        <v>66</v>
      </c>
      <c r="F11" t="str">
        <f>HYPERLINK("http://www.ncbi.nlm.nih.gov/Taxonomy/Browser/wwwtax.cgi?mode=Info&amp;id=9685&amp;lvl=3&amp;lin=f&amp;keep=1&amp;srchmode=1&amp;unlock","Felis catus")</f>
        <v>Felis catus</v>
      </c>
      <c r="G11" t="s">
        <v>86</v>
      </c>
      <c r="H11" t="str">
        <f>HYPERLINK("http://www.ncbi.nlm.nih.gov/protein/XP_023102930.1","40S ribosomal protein S2")</f>
        <v>40S ribosomal protein S2</v>
      </c>
      <c r="I11" t="s">
        <v>118</v>
      </c>
      <c r="J11" t="s">
        <v>69</v>
      </c>
      <c r="K11">
        <v>106</v>
      </c>
      <c r="L11" t="s">
        <v>115</v>
      </c>
      <c r="M11" t="s">
        <v>69</v>
      </c>
      <c r="N11" t="s">
        <v>71</v>
      </c>
      <c r="O11" t="s">
        <v>69</v>
      </c>
      <c r="P11">
        <v>117.148</v>
      </c>
      <c r="Q11" t="s">
        <v>69</v>
      </c>
      <c r="R11" t="s">
        <v>69</v>
      </c>
      <c r="S11">
        <v>146</v>
      </c>
      <c r="T11" t="s">
        <v>119</v>
      </c>
      <c r="U11" t="s">
        <v>69</v>
      </c>
      <c r="V11" t="s">
        <v>120</v>
      </c>
      <c r="W11" t="s">
        <v>69</v>
      </c>
      <c r="X11">
        <v>147.131</v>
      </c>
      <c r="Y11" t="s">
        <v>69</v>
      </c>
      <c r="Z11" t="s">
        <v>69</v>
      </c>
      <c r="AA11">
        <v>147</v>
      </c>
      <c r="AB11" t="s">
        <v>115</v>
      </c>
      <c r="AC11" t="s">
        <v>69</v>
      </c>
      <c r="AD11" t="s">
        <v>71</v>
      </c>
      <c r="AE11" t="s">
        <v>69</v>
      </c>
      <c r="AF11">
        <v>117.148</v>
      </c>
      <c r="AG11" t="s">
        <v>69</v>
      </c>
      <c r="AH11" t="s">
        <v>69</v>
      </c>
    </row>
    <row r="12" spans="1:34" x14ac:dyDescent="0.25">
      <c r="A12">
        <v>7</v>
      </c>
      <c r="B12" t="str">
        <f>HYPERLINK("http://www.ncbi.nlm.nih.gov/protein/XP_046953965.1","XP_046953965.1")</f>
        <v>XP_046953965.1</v>
      </c>
      <c r="C12">
        <v>38764</v>
      </c>
      <c r="D12" t="str">
        <f>HYPERLINK("http://www.ncbi.nlm.nih.gov/Taxonomy/Browser/wwwtax.cgi?mode=Info&amp;id=61384&amp;lvl=3&amp;lin=f&amp;keep=1&amp;srchmode=1&amp;unlock","61384")</f>
        <v>61384</v>
      </c>
      <c r="E12" t="s">
        <v>66</v>
      </c>
      <c r="F12" t="str">
        <f>HYPERLINK("http://www.ncbi.nlm.nih.gov/Taxonomy/Browser/wwwtax.cgi?mode=Info&amp;id=61384&amp;lvl=3&amp;lin=f&amp;keep=1&amp;srchmode=1&amp;unlock","Lynx rufus")</f>
        <v>Lynx rufus</v>
      </c>
      <c r="G12" t="s">
        <v>93</v>
      </c>
      <c r="H12" t="str">
        <f>HYPERLINK("http://www.ncbi.nlm.nih.gov/protein/XP_046953965.1","40S ribosomal protein S2")</f>
        <v>40S ribosomal protein S2</v>
      </c>
      <c r="I12" t="s">
        <v>118</v>
      </c>
      <c r="J12" t="s">
        <v>69</v>
      </c>
      <c r="K12">
        <v>106</v>
      </c>
      <c r="L12" t="s">
        <v>115</v>
      </c>
      <c r="M12" t="s">
        <v>69</v>
      </c>
      <c r="N12" t="s">
        <v>71</v>
      </c>
      <c r="O12" t="s">
        <v>69</v>
      </c>
      <c r="P12">
        <v>117.148</v>
      </c>
      <c r="Q12" t="s">
        <v>69</v>
      </c>
      <c r="R12" t="s">
        <v>69</v>
      </c>
      <c r="S12">
        <v>146</v>
      </c>
      <c r="T12" t="s">
        <v>119</v>
      </c>
      <c r="U12" t="s">
        <v>69</v>
      </c>
      <c r="V12" t="s">
        <v>120</v>
      </c>
      <c r="W12" t="s">
        <v>69</v>
      </c>
      <c r="X12">
        <v>147.131</v>
      </c>
      <c r="Y12" t="s">
        <v>69</v>
      </c>
      <c r="Z12" t="s">
        <v>69</v>
      </c>
      <c r="AA12">
        <v>147</v>
      </c>
      <c r="AB12" t="s">
        <v>115</v>
      </c>
      <c r="AC12" t="s">
        <v>69</v>
      </c>
      <c r="AD12" t="s">
        <v>71</v>
      </c>
      <c r="AE12" t="s">
        <v>69</v>
      </c>
      <c r="AF12">
        <v>117.148</v>
      </c>
      <c r="AG12" t="s">
        <v>69</v>
      </c>
      <c r="AH12" t="s">
        <v>69</v>
      </c>
    </row>
    <row r="13" spans="1:34" x14ac:dyDescent="0.25">
      <c r="A13">
        <v>7</v>
      </c>
      <c r="B13" t="str">
        <f>HYPERLINK("http://www.ncbi.nlm.nih.gov/protein/XP_032447444.1","XP_032447444.1")</f>
        <v>XP_032447444.1</v>
      </c>
      <c r="C13">
        <v>42175</v>
      </c>
      <c r="D13" t="str">
        <f>HYPERLINK("http://www.ncbi.nlm.nih.gov/Taxonomy/Browser/wwwtax.cgi?mode=Info&amp;id=61383&amp;lvl=3&amp;lin=f&amp;keep=1&amp;srchmode=1&amp;unlock","61383")</f>
        <v>61383</v>
      </c>
      <c r="E13" t="s">
        <v>66</v>
      </c>
      <c r="F13" t="str">
        <f>HYPERLINK("http://www.ncbi.nlm.nih.gov/Taxonomy/Browser/wwwtax.cgi?mode=Info&amp;id=61383&amp;lvl=3&amp;lin=f&amp;keep=1&amp;srchmode=1&amp;unlock","Lynx canadensis")</f>
        <v>Lynx canadensis</v>
      </c>
      <c r="G13" t="s">
        <v>105</v>
      </c>
      <c r="H13" t="str">
        <f>HYPERLINK("http://www.ncbi.nlm.nih.gov/protein/XP_032447444.1","40S ribosomal protein S2")</f>
        <v>40S ribosomal protein S2</v>
      </c>
      <c r="I13" t="s">
        <v>118</v>
      </c>
      <c r="J13" t="s">
        <v>69</v>
      </c>
      <c r="K13">
        <v>106</v>
      </c>
      <c r="L13" t="s">
        <v>115</v>
      </c>
      <c r="M13" t="s">
        <v>69</v>
      </c>
      <c r="N13" t="s">
        <v>71</v>
      </c>
      <c r="O13" t="s">
        <v>69</v>
      </c>
      <c r="P13">
        <v>117.148</v>
      </c>
      <c r="Q13" t="s">
        <v>69</v>
      </c>
      <c r="R13" t="s">
        <v>69</v>
      </c>
      <c r="S13">
        <v>146</v>
      </c>
      <c r="T13" t="s">
        <v>119</v>
      </c>
      <c r="U13" t="s">
        <v>69</v>
      </c>
      <c r="V13" t="s">
        <v>120</v>
      </c>
      <c r="W13" t="s">
        <v>69</v>
      </c>
      <c r="X13">
        <v>147.131</v>
      </c>
      <c r="Y13" t="s">
        <v>69</v>
      </c>
      <c r="Z13" t="s">
        <v>69</v>
      </c>
      <c r="AA13">
        <v>147</v>
      </c>
      <c r="AB13" t="s">
        <v>115</v>
      </c>
      <c r="AC13" t="s">
        <v>69</v>
      </c>
      <c r="AD13" t="s">
        <v>71</v>
      </c>
      <c r="AE13" t="s">
        <v>69</v>
      </c>
      <c r="AF13">
        <v>117.148</v>
      </c>
      <c r="AG13" t="s">
        <v>69</v>
      </c>
      <c r="AH13" t="s">
        <v>69</v>
      </c>
    </row>
    <row r="14" spans="1:34" x14ac:dyDescent="0.25">
      <c r="A14">
        <v>7</v>
      </c>
      <c r="B14" t="str">
        <f>HYPERLINK("http://www.ncbi.nlm.nih.gov/protein/XP_047694866.1","XP_047694866.1")</f>
        <v>XP_047694866.1</v>
      </c>
      <c r="C14">
        <v>56399</v>
      </c>
      <c r="D14" t="str">
        <f>HYPERLINK("http://www.ncbi.nlm.nih.gov/Taxonomy/Browser/wwwtax.cgi?mode=Info&amp;id=61388&amp;lvl=3&amp;lin=f&amp;keep=1&amp;srchmode=1&amp;unlock","61388")</f>
        <v>61388</v>
      </c>
      <c r="E14" t="s">
        <v>66</v>
      </c>
      <c r="F14" t="str">
        <f>HYPERLINK("http://www.ncbi.nlm.nih.gov/Taxonomy/Browser/wwwtax.cgi?mode=Info&amp;id=61388&amp;lvl=3&amp;lin=f&amp;keep=1&amp;srchmode=1&amp;unlock","Prionailurus viverrinus")</f>
        <v>Prionailurus viverrinus</v>
      </c>
      <c r="G14" t="s">
        <v>94</v>
      </c>
      <c r="H14" t="str">
        <f>HYPERLINK("http://www.ncbi.nlm.nih.gov/protein/XP_047694866.1","40S ribosomal protein S2")</f>
        <v>40S ribosomal protein S2</v>
      </c>
      <c r="I14" t="s">
        <v>118</v>
      </c>
      <c r="J14" t="s">
        <v>69</v>
      </c>
      <c r="K14">
        <v>106</v>
      </c>
      <c r="L14" t="s">
        <v>115</v>
      </c>
      <c r="M14" t="s">
        <v>69</v>
      </c>
      <c r="N14" t="s">
        <v>71</v>
      </c>
      <c r="O14" t="s">
        <v>69</v>
      </c>
      <c r="P14">
        <v>117.148</v>
      </c>
      <c r="Q14" t="s">
        <v>69</v>
      </c>
      <c r="R14" t="s">
        <v>69</v>
      </c>
      <c r="S14">
        <v>146</v>
      </c>
      <c r="T14" t="s">
        <v>119</v>
      </c>
      <c r="U14" t="s">
        <v>69</v>
      </c>
      <c r="V14" t="s">
        <v>120</v>
      </c>
      <c r="W14" t="s">
        <v>69</v>
      </c>
      <c r="X14">
        <v>147.131</v>
      </c>
      <c r="Y14" t="s">
        <v>69</v>
      </c>
      <c r="Z14" t="s">
        <v>69</v>
      </c>
      <c r="AA14">
        <v>147</v>
      </c>
      <c r="AB14" t="s">
        <v>115</v>
      </c>
      <c r="AC14" t="s">
        <v>69</v>
      </c>
      <c r="AD14" t="s">
        <v>71</v>
      </c>
      <c r="AE14" t="s">
        <v>69</v>
      </c>
      <c r="AF14">
        <v>117.148</v>
      </c>
      <c r="AG14" t="s">
        <v>69</v>
      </c>
      <c r="AH14" t="s">
        <v>69</v>
      </c>
    </row>
    <row r="15" spans="1:34" x14ac:dyDescent="0.25">
      <c r="A15">
        <v>7</v>
      </c>
      <c r="B15" t="str">
        <f>HYPERLINK("http://www.ncbi.nlm.nih.gov/protein/XP_020742174.1","XP_020742174.1")</f>
        <v>XP_020742174.1</v>
      </c>
      <c r="C15">
        <v>48218</v>
      </c>
      <c r="D15" t="str">
        <f>HYPERLINK("http://www.ncbi.nlm.nih.gov/Taxonomy/Browser/wwwtax.cgi?mode=Info&amp;id=9880&amp;lvl=3&amp;lin=f&amp;keep=1&amp;srchmode=1&amp;unlock","9880")</f>
        <v>9880</v>
      </c>
      <c r="E15" t="s">
        <v>66</v>
      </c>
      <c r="F15" t="str">
        <f>HYPERLINK("http://www.ncbi.nlm.nih.gov/Taxonomy/Browser/wwwtax.cgi?mode=Info&amp;id=9880&amp;lvl=3&amp;lin=f&amp;keep=1&amp;srchmode=1&amp;unlock","Odocoileus virginianus texanus")</f>
        <v>Odocoileus virginianus texanus</v>
      </c>
      <c r="G15" t="s">
        <v>81</v>
      </c>
      <c r="H15" t="str">
        <f>HYPERLINK("http://www.ncbi.nlm.nih.gov/protein/XP_020742174.1","40S ribosomal protein S2")</f>
        <v>40S ribosomal protein S2</v>
      </c>
      <c r="I15" t="s">
        <v>118</v>
      </c>
      <c r="J15" t="s">
        <v>69</v>
      </c>
      <c r="K15">
        <v>106</v>
      </c>
      <c r="L15" t="s">
        <v>115</v>
      </c>
      <c r="M15" t="s">
        <v>69</v>
      </c>
      <c r="N15" t="s">
        <v>71</v>
      </c>
      <c r="O15" t="s">
        <v>69</v>
      </c>
      <c r="P15">
        <v>117.148</v>
      </c>
      <c r="Q15" t="s">
        <v>69</v>
      </c>
      <c r="R15" t="s">
        <v>69</v>
      </c>
      <c r="S15">
        <v>146</v>
      </c>
      <c r="T15" t="s">
        <v>119</v>
      </c>
      <c r="U15" t="s">
        <v>69</v>
      </c>
      <c r="V15" t="s">
        <v>120</v>
      </c>
      <c r="W15" t="s">
        <v>69</v>
      </c>
      <c r="X15">
        <v>147.131</v>
      </c>
      <c r="Y15" t="s">
        <v>69</v>
      </c>
      <c r="Z15" t="s">
        <v>69</v>
      </c>
      <c r="AA15">
        <v>147</v>
      </c>
      <c r="AB15" t="s">
        <v>115</v>
      </c>
      <c r="AC15" t="s">
        <v>69</v>
      </c>
      <c r="AD15" t="s">
        <v>71</v>
      </c>
      <c r="AE15" t="s">
        <v>69</v>
      </c>
      <c r="AF15">
        <v>117.148</v>
      </c>
      <c r="AG15" t="s">
        <v>69</v>
      </c>
      <c r="AH15" t="s">
        <v>69</v>
      </c>
    </row>
    <row r="16" spans="1:34" x14ac:dyDescent="0.25">
      <c r="A16">
        <v>7</v>
      </c>
      <c r="B16" t="str">
        <f>HYPERLINK("http://www.ncbi.nlm.nih.gov/protein/NP_001028785.1","NP_001028785.1")</f>
        <v>NP_001028785.1</v>
      </c>
      <c r="C16">
        <v>136186</v>
      </c>
      <c r="D16" t="str">
        <f>HYPERLINK("http://www.ncbi.nlm.nih.gov/Taxonomy/Browser/wwwtax.cgi?mode=Info&amp;id=9913&amp;lvl=3&amp;lin=f&amp;keep=1&amp;srchmode=1&amp;unlock","9913")</f>
        <v>9913</v>
      </c>
      <c r="E16" t="s">
        <v>66</v>
      </c>
      <c r="F16" t="str">
        <f>HYPERLINK("http://www.ncbi.nlm.nih.gov/Taxonomy/Browser/wwwtax.cgi?mode=Info&amp;id=9913&amp;lvl=3&amp;lin=f&amp;keep=1&amp;srchmode=1&amp;unlock","Bos taurus")</f>
        <v>Bos taurus</v>
      </c>
      <c r="G16" t="s">
        <v>82</v>
      </c>
      <c r="H16" t="str">
        <f>HYPERLINK("http://www.ncbi.nlm.nih.gov/protein/NP_001028785.1","40S ribosomal protein S2")</f>
        <v>40S ribosomal protein S2</v>
      </c>
      <c r="I16" t="s">
        <v>118</v>
      </c>
      <c r="J16" t="s">
        <v>69</v>
      </c>
      <c r="K16">
        <v>106</v>
      </c>
      <c r="L16" t="s">
        <v>115</v>
      </c>
      <c r="M16" t="s">
        <v>69</v>
      </c>
      <c r="N16" t="s">
        <v>71</v>
      </c>
      <c r="O16" t="s">
        <v>69</v>
      </c>
      <c r="P16">
        <v>117.148</v>
      </c>
      <c r="Q16" t="s">
        <v>69</v>
      </c>
      <c r="R16" t="s">
        <v>69</v>
      </c>
      <c r="S16">
        <v>146</v>
      </c>
      <c r="T16" t="s">
        <v>119</v>
      </c>
      <c r="U16" t="s">
        <v>69</v>
      </c>
      <c r="V16" t="s">
        <v>120</v>
      </c>
      <c r="W16" t="s">
        <v>69</v>
      </c>
      <c r="X16">
        <v>147.131</v>
      </c>
      <c r="Y16" t="s">
        <v>69</v>
      </c>
      <c r="Z16" t="s">
        <v>69</v>
      </c>
      <c r="AA16">
        <v>147</v>
      </c>
      <c r="AB16" t="s">
        <v>115</v>
      </c>
      <c r="AC16" t="s">
        <v>69</v>
      </c>
      <c r="AD16" t="s">
        <v>71</v>
      </c>
      <c r="AE16" t="s">
        <v>69</v>
      </c>
      <c r="AF16">
        <v>117.148</v>
      </c>
      <c r="AG16" t="s">
        <v>69</v>
      </c>
      <c r="AH16" t="s">
        <v>69</v>
      </c>
    </row>
    <row r="17" spans="1:34" x14ac:dyDescent="0.25">
      <c r="A17">
        <v>7</v>
      </c>
      <c r="B17" t="str">
        <f>HYPERLINK("http://www.ncbi.nlm.nih.gov/protein/XP_022275969.1","XP_022275969.1")</f>
        <v>XP_022275969.1</v>
      </c>
      <c r="C17">
        <v>136357</v>
      </c>
      <c r="D17" t="str">
        <f>HYPERLINK("http://www.ncbi.nlm.nih.gov/Taxonomy/Browser/wwwtax.cgi?mode=Info&amp;id=9615&amp;lvl=3&amp;lin=f&amp;keep=1&amp;srchmode=1&amp;unlock","9615")</f>
        <v>9615</v>
      </c>
      <c r="E17" t="s">
        <v>66</v>
      </c>
      <c r="F17" t="str">
        <f>HYPERLINK("http://www.ncbi.nlm.nih.gov/Taxonomy/Browser/wwwtax.cgi?mode=Info&amp;id=9615&amp;lvl=3&amp;lin=f&amp;keep=1&amp;srchmode=1&amp;unlock","Canis lupus familiaris")</f>
        <v>Canis lupus familiaris</v>
      </c>
      <c r="G17" t="s">
        <v>84</v>
      </c>
      <c r="H17" t="str">
        <f>HYPERLINK("http://www.ncbi.nlm.nih.gov/protein/XP_022275969.1","40S ribosomal protein S2 isoform X1")</f>
        <v>40S ribosomal protein S2 isoform X1</v>
      </c>
      <c r="I17" t="s">
        <v>118</v>
      </c>
      <c r="J17" t="s">
        <v>69</v>
      </c>
      <c r="K17">
        <v>106</v>
      </c>
      <c r="L17" t="s">
        <v>115</v>
      </c>
      <c r="M17" t="s">
        <v>69</v>
      </c>
      <c r="N17" t="s">
        <v>71</v>
      </c>
      <c r="O17" t="s">
        <v>69</v>
      </c>
      <c r="P17">
        <v>117.148</v>
      </c>
      <c r="Q17" t="s">
        <v>69</v>
      </c>
      <c r="R17" t="s">
        <v>69</v>
      </c>
      <c r="S17">
        <v>146</v>
      </c>
      <c r="T17" t="s">
        <v>119</v>
      </c>
      <c r="U17" t="s">
        <v>69</v>
      </c>
      <c r="V17" t="s">
        <v>120</v>
      </c>
      <c r="W17" t="s">
        <v>69</v>
      </c>
      <c r="X17">
        <v>147.131</v>
      </c>
      <c r="Y17" t="s">
        <v>69</v>
      </c>
      <c r="Z17" t="s">
        <v>69</v>
      </c>
      <c r="AA17">
        <v>147</v>
      </c>
      <c r="AB17" t="s">
        <v>115</v>
      </c>
      <c r="AC17" t="s">
        <v>69</v>
      </c>
      <c r="AD17" t="s">
        <v>71</v>
      </c>
      <c r="AE17" t="s">
        <v>69</v>
      </c>
      <c r="AF17">
        <v>117.148</v>
      </c>
      <c r="AG17" t="s">
        <v>69</v>
      </c>
      <c r="AH17" t="s">
        <v>69</v>
      </c>
    </row>
    <row r="18" spans="1:34" x14ac:dyDescent="0.25">
      <c r="A18">
        <v>7</v>
      </c>
      <c r="B18" t="str">
        <f>HYPERLINK("http://www.ncbi.nlm.nih.gov/protein/XP_044090172.1","XP_044090172.1")</f>
        <v>XP_044090172.1</v>
      </c>
      <c r="C18">
        <v>44640</v>
      </c>
      <c r="D18" t="str">
        <f>HYPERLINK("http://www.ncbi.nlm.nih.gov/Taxonomy/Browser/wwwtax.cgi?mode=Info&amp;id=452646&amp;lvl=3&amp;lin=f&amp;keep=1&amp;srchmode=1&amp;unlock","452646")</f>
        <v>452646</v>
      </c>
      <c r="E18" t="s">
        <v>66</v>
      </c>
      <c r="F18" t="str">
        <f>HYPERLINK("http://www.ncbi.nlm.nih.gov/Taxonomy/Browser/wwwtax.cgi?mode=Info&amp;id=452646&amp;lvl=3&amp;lin=f&amp;keep=1&amp;srchmode=1&amp;unlock","Neogale vison")</f>
        <v>Neogale vison</v>
      </c>
      <c r="G18" t="s">
        <v>96</v>
      </c>
      <c r="H18" t="str">
        <f>HYPERLINK("http://www.ncbi.nlm.nih.gov/protein/XP_044090172.1","40S ribosomal protein S2")</f>
        <v>40S ribosomal protein S2</v>
      </c>
      <c r="I18" t="s">
        <v>118</v>
      </c>
      <c r="J18" t="s">
        <v>69</v>
      </c>
      <c r="K18">
        <v>106</v>
      </c>
      <c r="L18" t="s">
        <v>115</v>
      </c>
      <c r="M18" t="s">
        <v>69</v>
      </c>
      <c r="N18" t="s">
        <v>71</v>
      </c>
      <c r="O18" t="s">
        <v>69</v>
      </c>
      <c r="P18">
        <v>117.148</v>
      </c>
      <c r="Q18" t="s">
        <v>69</v>
      </c>
      <c r="R18" t="s">
        <v>69</v>
      </c>
      <c r="S18">
        <v>146</v>
      </c>
      <c r="T18" t="s">
        <v>119</v>
      </c>
      <c r="U18" t="s">
        <v>69</v>
      </c>
      <c r="V18" t="s">
        <v>120</v>
      </c>
      <c r="W18" t="s">
        <v>69</v>
      </c>
      <c r="X18">
        <v>147.131</v>
      </c>
      <c r="Y18" t="s">
        <v>69</v>
      </c>
      <c r="Z18" t="s">
        <v>69</v>
      </c>
      <c r="AA18">
        <v>147</v>
      </c>
      <c r="AB18" t="s">
        <v>115</v>
      </c>
      <c r="AC18" t="s">
        <v>69</v>
      </c>
      <c r="AD18" t="s">
        <v>71</v>
      </c>
      <c r="AE18" t="s">
        <v>69</v>
      </c>
      <c r="AF18">
        <v>117.148</v>
      </c>
      <c r="AG18" t="s">
        <v>69</v>
      </c>
      <c r="AH18" t="s">
        <v>69</v>
      </c>
    </row>
    <row r="19" spans="1:34" x14ac:dyDescent="0.25">
      <c r="A19">
        <v>7</v>
      </c>
      <c r="B19" t="str">
        <f>HYPERLINK("http://www.ncbi.nlm.nih.gov/protein/XP_004750800.1","XP_004750800.1")</f>
        <v>XP_004750800.1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HYPERLINK("http://www.ncbi.nlm.nih.gov/protein/XP_004750800.1","40S ribosomal protein S2")</f>
        <v>40S ribosomal protein S2</v>
      </c>
      <c r="I19" t="s">
        <v>118</v>
      </c>
      <c r="J19" t="s">
        <v>69</v>
      </c>
      <c r="K19">
        <v>106</v>
      </c>
      <c r="L19" t="s">
        <v>115</v>
      </c>
      <c r="M19" t="s">
        <v>69</v>
      </c>
      <c r="N19" t="s">
        <v>71</v>
      </c>
      <c r="O19" t="s">
        <v>69</v>
      </c>
      <c r="P19">
        <v>117.148</v>
      </c>
      <c r="Q19" t="s">
        <v>69</v>
      </c>
      <c r="R19" t="s">
        <v>69</v>
      </c>
      <c r="S19">
        <v>146</v>
      </c>
      <c r="T19" t="s">
        <v>119</v>
      </c>
      <c r="U19" t="s">
        <v>69</v>
      </c>
      <c r="V19" t="s">
        <v>120</v>
      </c>
      <c r="W19" t="s">
        <v>69</v>
      </c>
      <c r="X19">
        <v>147.131</v>
      </c>
      <c r="Y19" t="s">
        <v>69</v>
      </c>
      <c r="Z19" t="s">
        <v>69</v>
      </c>
      <c r="AA19">
        <v>147</v>
      </c>
      <c r="AB19" t="s">
        <v>115</v>
      </c>
      <c r="AC19" t="s">
        <v>69</v>
      </c>
      <c r="AD19" t="s">
        <v>71</v>
      </c>
      <c r="AE19" t="s">
        <v>69</v>
      </c>
      <c r="AF19">
        <v>117.148</v>
      </c>
      <c r="AG19" t="s">
        <v>69</v>
      </c>
      <c r="AH19" t="s">
        <v>69</v>
      </c>
    </row>
    <row r="20" spans="1:34" x14ac:dyDescent="0.25">
      <c r="A20">
        <v>7</v>
      </c>
      <c r="B20" t="str">
        <f>HYPERLINK("http://www.ncbi.nlm.nih.gov/protein/XP_045848854.1","XP_045848854.1")</f>
        <v>XP_045848854.1</v>
      </c>
      <c r="C20">
        <v>50752</v>
      </c>
      <c r="D20" t="str">
        <f>HYPERLINK("http://www.ncbi.nlm.nih.gov/Taxonomy/Browser/wwwtax.cgi?mode=Info&amp;id=9662&amp;lvl=3&amp;lin=f&amp;keep=1&amp;srchmode=1&amp;unlock","9662")</f>
        <v>9662</v>
      </c>
      <c r="E20" t="s">
        <v>66</v>
      </c>
      <c r="F20" t="str">
        <f>HYPERLINK("http://www.ncbi.nlm.nih.gov/Taxonomy/Browser/wwwtax.cgi?mode=Info&amp;id=9662&amp;lvl=3&amp;lin=f&amp;keep=1&amp;srchmode=1&amp;unlock","Meles meles")</f>
        <v>Meles meles</v>
      </c>
      <c r="G20" t="s">
        <v>99</v>
      </c>
      <c r="H20" t="str">
        <f>HYPERLINK("http://www.ncbi.nlm.nih.gov/protein/XP_045848854.1","40S ribosomal protein S2")</f>
        <v>40S ribosomal protein S2</v>
      </c>
      <c r="I20" t="s">
        <v>118</v>
      </c>
      <c r="J20" t="s">
        <v>69</v>
      </c>
      <c r="K20">
        <v>106</v>
      </c>
      <c r="L20" t="s">
        <v>115</v>
      </c>
      <c r="M20" t="s">
        <v>69</v>
      </c>
      <c r="N20" t="s">
        <v>71</v>
      </c>
      <c r="O20" t="s">
        <v>69</v>
      </c>
      <c r="P20">
        <v>117.148</v>
      </c>
      <c r="Q20" t="s">
        <v>69</v>
      </c>
      <c r="R20" t="s">
        <v>69</v>
      </c>
      <c r="S20">
        <v>146</v>
      </c>
      <c r="T20" t="s">
        <v>119</v>
      </c>
      <c r="U20" t="s">
        <v>69</v>
      </c>
      <c r="V20" t="s">
        <v>120</v>
      </c>
      <c r="W20" t="s">
        <v>69</v>
      </c>
      <c r="X20">
        <v>147.131</v>
      </c>
      <c r="Y20" t="s">
        <v>69</v>
      </c>
      <c r="Z20" t="s">
        <v>69</v>
      </c>
      <c r="AA20">
        <v>147</v>
      </c>
      <c r="AB20" t="s">
        <v>115</v>
      </c>
      <c r="AC20" t="s">
        <v>69</v>
      </c>
      <c r="AD20" t="s">
        <v>71</v>
      </c>
      <c r="AE20" t="s">
        <v>69</v>
      </c>
      <c r="AF20">
        <v>117.148</v>
      </c>
      <c r="AG20" t="s">
        <v>69</v>
      </c>
      <c r="AH20" t="s">
        <v>69</v>
      </c>
    </row>
    <row r="21" spans="1:34" x14ac:dyDescent="0.25">
      <c r="A21">
        <v>7</v>
      </c>
      <c r="B21" t="str">
        <f>HYPERLINK("http://www.ncbi.nlm.nih.gov/protein/XP_047389722.1","XP_047389722.1")</f>
        <v>XP_047389722.1</v>
      </c>
      <c r="C21">
        <v>74939</v>
      </c>
      <c r="D21" t="str">
        <f>HYPERLINK("http://www.ncbi.nlm.nih.gov/Taxonomy/Browser/wwwtax.cgi?mode=Info&amp;id=30640&amp;lvl=3&amp;lin=f&amp;keep=1&amp;srchmode=1&amp;unlock","30640")</f>
        <v>30640</v>
      </c>
      <c r="E21" t="s">
        <v>66</v>
      </c>
      <c r="F21" t="str">
        <f>HYPERLINK("http://www.ncbi.nlm.nih.gov/Taxonomy/Browser/wwwtax.cgi?mode=Info&amp;id=30640&amp;lvl=3&amp;lin=f&amp;keep=1&amp;srchmode=1&amp;unlock","Neosciurus carolinensis")</f>
        <v>Neosciurus carolinensis</v>
      </c>
      <c r="G21" t="s">
        <v>101</v>
      </c>
      <c r="H21" t="str">
        <f>HYPERLINK("http://www.ncbi.nlm.nih.gov/protein/XP_047389722.1","40S ribosomal protein S2")</f>
        <v>40S ribosomal protein S2</v>
      </c>
      <c r="I21" t="s">
        <v>118</v>
      </c>
      <c r="J21" t="s">
        <v>69</v>
      </c>
      <c r="K21">
        <v>106</v>
      </c>
      <c r="L21" t="s">
        <v>115</v>
      </c>
      <c r="M21" t="s">
        <v>69</v>
      </c>
      <c r="N21" t="s">
        <v>71</v>
      </c>
      <c r="O21" t="s">
        <v>69</v>
      </c>
      <c r="P21">
        <v>117.148</v>
      </c>
      <c r="Q21" t="s">
        <v>69</v>
      </c>
      <c r="R21" t="s">
        <v>69</v>
      </c>
      <c r="S21">
        <v>146</v>
      </c>
      <c r="T21" t="s">
        <v>119</v>
      </c>
      <c r="U21" t="s">
        <v>69</v>
      </c>
      <c r="V21" t="s">
        <v>120</v>
      </c>
      <c r="W21" t="s">
        <v>69</v>
      </c>
      <c r="X21">
        <v>147.131</v>
      </c>
      <c r="Y21" t="s">
        <v>69</v>
      </c>
      <c r="Z21" t="s">
        <v>69</v>
      </c>
      <c r="AA21">
        <v>147</v>
      </c>
      <c r="AB21" t="s">
        <v>115</v>
      </c>
      <c r="AC21" t="s">
        <v>69</v>
      </c>
      <c r="AD21" t="s">
        <v>71</v>
      </c>
      <c r="AE21" t="s">
        <v>69</v>
      </c>
      <c r="AF21">
        <v>117.148</v>
      </c>
      <c r="AG21" t="s">
        <v>69</v>
      </c>
      <c r="AH21" t="s">
        <v>69</v>
      </c>
    </row>
    <row r="22" spans="1:34" x14ac:dyDescent="0.25">
      <c r="A22">
        <v>7</v>
      </c>
      <c r="B22" t="str">
        <f>HYPERLINK("http://www.ncbi.nlm.nih.gov/protein/XP_020942455.1","XP_020942455.1")</f>
        <v>XP_020942455.1</v>
      </c>
      <c r="C22">
        <v>86952</v>
      </c>
      <c r="D22" t="str">
        <f>HYPERLINK("http://www.ncbi.nlm.nih.gov/Taxonomy/Browser/wwwtax.cgi?mode=Info&amp;id=9823&amp;lvl=3&amp;lin=f&amp;keep=1&amp;srchmode=1&amp;unlock","9823")</f>
        <v>9823</v>
      </c>
      <c r="E22" t="s">
        <v>66</v>
      </c>
      <c r="F22" t="str">
        <f>HYPERLINK("http://www.ncbi.nlm.nih.gov/Taxonomy/Browser/wwwtax.cgi?mode=Info&amp;id=9823&amp;lvl=3&amp;lin=f&amp;keep=1&amp;srchmode=1&amp;unlock","Sus scrofa")</f>
        <v>Sus scrofa</v>
      </c>
      <c r="G22" t="s">
        <v>85</v>
      </c>
      <c r="H22" t="str">
        <f>HYPERLINK("http://www.ncbi.nlm.nih.gov/protein/XP_020942455.1","40S ribosomal protein S2")</f>
        <v>40S ribosomal protein S2</v>
      </c>
      <c r="I22" t="s">
        <v>118</v>
      </c>
      <c r="J22" t="s">
        <v>69</v>
      </c>
      <c r="K22">
        <v>106</v>
      </c>
      <c r="L22" t="s">
        <v>115</v>
      </c>
      <c r="M22" t="s">
        <v>69</v>
      </c>
      <c r="N22" t="s">
        <v>71</v>
      </c>
      <c r="O22" t="s">
        <v>69</v>
      </c>
      <c r="P22">
        <v>117.148</v>
      </c>
      <c r="Q22" t="s">
        <v>69</v>
      </c>
      <c r="R22" t="s">
        <v>69</v>
      </c>
      <c r="S22">
        <v>146</v>
      </c>
      <c r="T22" t="s">
        <v>119</v>
      </c>
      <c r="U22" t="s">
        <v>69</v>
      </c>
      <c r="V22" t="s">
        <v>120</v>
      </c>
      <c r="W22" t="s">
        <v>69</v>
      </c>
      <c r="X22">
        <v>147.131</v>
      </c>
      <c r="Y22" t="s">
        <v>69</v>
      </c>
      <c r="Z22" t="s">
        <v>69</v>
      </c>
      <c r="AA22">
        <v>147</v>
      </c>
      <c r="AB22" t="s">
        <v>115</v>
      </c>
      <c r="AC22" t="s">
        <v>69</v>
      </c>
      <c r="AD22" t="s">
        <v>71</v>
      </c>
      <c r="AE22" t="s">
        <v>69</v>
      </c>
      <c r="AF22">
        <v>117.148</v>
      </c>
      <c r="AG22" t="s">
        <v>69</v>
      </c>
      <c r="AH22" t="s">
        <v>69</v>
      </c>
    </row>
    <row r="23" spans="1:34" x14ac:dyDescent="0.25">
      <c r="A23">
        <v>7</v>
      </c>
      <c r="B23" t="str">
        <f>HYPERLINK("http://www.ncbi.nlm.nih.gov/protein/XP_006978967.1","XP_006978967.1")</f>
        <v>XP_006978967.1</v>
      </c>
      <c r="C23">
        <v>54287</v>
      </c>
      <c r="D23" t="str">
        <f>HYPERLINK("http://www.ncbi.nlm.nih.gov/Taxonomy/Browser/wwwtax.cgi?mode=Info&amp;id=230844&amp;lvl=3&amp;lin=f&amp;keep=1&amp;srchmode=1&amp;unlock","230844")</f>
        <v>230844</v>
      </c>
      <c r="E23" t="s">
        <v>66</v>
      </c>
      <c r="F23" t="str">
        <f>HYPERLINK("http://www.ncbi.nlm.nih.gov/Taxonomy/Browser/wwwtax.cgi?mode=Info&amp;id=230844&amp;lvl=3&amp;lin=f&amp;keep=1&amp;srchmode=1&amp;unlock","Peromyscus maniculatus bairdii")</f>
        <v>Peromyscus maniculatus bairdii</v>
      </c>
      <c r="G23" t="s">
        <v>88</v>
      </c>
      <c r="H23" t="str">
        <f>HYPERLINK("http://www.ncbi.nlm.nih.gov/protein/XP_006978967.1","40S ribosomal protein S2")</f>
        <v>40S ribosomal protein S2</v>
      </c>
      <c r="I23" t="s">
        <v>118</v>
      </c>
      <c r="J23" t="s">
        <v>69</v>
      </c>
      <c r="K23">
        <v>106</v>
      </c>
      <c r="L23" t="s">
        <v>115</v>
      </c>
      <c r="M23" t="s">
        <v>69</v>
      </c>
      <c r="N23" t="s">
        <v>71</v>
      </c>
      <c r="O23" t="s">
        <v>69</v>
      </c>
      <c r="P23">
        <v>117.148</v>
      </c>
      <c r="Q23" t="s">
        <v>69</v>
      </c>
      <c r="R23" t="s">
        <v>69</v>
      </c>
      <c r="S23">
        <v>146</v>
      </c>
      <c r="T23" t="s">
        <v>119</v>
      </c>
      <c r="U23" t="s">
        <v>69</v>
      </c>
      <c r="V23" t="s">
        <v>120</v>
      </c>
      <c r="W23" t="s">
        <v>69</v>
      </c>
      <c r="X23">
        <v>147.131</v>
      </c>
      <c r="Y23" t="s">
        <v>69</v>
      </c>
      <c r="Z23" t="s">
        <v>69</v>
      </c>
      <c r="AA23">
        <v>147</v>
      </c>
      <c r="AB23" t="s">
        <v>115</v>
      </c>
      <c r="AC23" t="s">
        <v>69</v>
      </c>
      <c r="AD23" t="s">
        <v>71</v>
      </c>
      <c r="AE23" t="s">
        <v>69</v>
      </c>
      <c r="AF23">
        <v>117.148</v>
      </c>
      <c r="AG23" t="s">
        <v>69</v>
      </c>
      <c r="AH23" t="s">
        <v>69</v>
      </c>
    </row>
    <row r="24" spans="1:34" x14ac:dyDescent="0.25">
      <c r="A24">
        <v>7</v>
      </c>
      <c r="B24" t="str">
        <f>HYPERLINK("http://www.ncbi.nlm.nih.gov/protein/NP_114026.3","NP_114026.3")</f>
        <v>NP_114026.3</v>
      </c>
      <c r="C24">
        <v>158159</v>
      </c>
      <c r="D24" t="str">
        <f>HYPERLINK("http://www.ncbi.nlm.nih.gov/Taxonomy/Browser/wwwtax.cgi?mode=Info&amp;id=10116&amp;lvl=3&amp;lin=f&amp;keep=1&amp;srchmode=1&amp;unlock","10116")</f>
        <v>10116</v>
      </c>
      <c r="E24" t="s">
        <v>66</v>
      </c>
      <c r="F24" t="str">
        <f>HYPERLINK("http://www.ncbi.nlm.nih.gov/Taxonomy/Browser/wwwtax.cgi?mode=Info&amp;id=10116&amp;lvl=3&amp;lin=f&amp;keep=1&amp;srchmode=1&amp;unlock","Rattus norvegicus")</f>
        <v>Rattus norvegicus</v>
      </c>
      <c r="G24" t="s">
        <v>102</v>
      </c>
      <c r="H24" t="str">
        <f>HYPERLINK("http://www.ncbi.nlm.nih.gov/protein/NP_114026.3","40S ribosomal protein S2")</f>
        <v>40S ribosomal protein S2</v>
      </c>
      <c r="I24" t="s">
        <v>118</v>
      </c>
      <c r="J24" t="s">
        <v>69</v>
      </c>
      <c r="K24">
        <v>106</v>
      </c>
      <c r="L24" t="s">
        <v>115</v>
      </c>
      <c r="M24" t="s">
        <v>69</v>
      </c>
      <c r="N24" t="s">
        <v>71</v>
      </c>
      <c r="O24" t="s">
        <v>69</v>
      </c>
      <c r="P24">
        <v>117.148</v>
      </c>
      <c r="Q24" t="s">
        <v>69</v>
      </c>
      <c r="R24" t="s">
        <v>69</v>
      </c>
      <c r="S24">
        <v>146</v>
      </c>
      <c r="T24" t="s">
        <v>119</v>
      </c>
      <c r="U24" t="s">
        <v>69</v>
      </c>
      <c r="V24" t="s">
        <v>120</v>
      </c>
      <c r="W24" t="s">
        <v>69</v>
      </c>
      <c r="X24">
        <v>147.131</v>
      </c>
      <c r="Y24" t="s">
        <v>69</v>
      </c>
      <c r="Z24" t="s">
        <v>69</v>
      </c>
      <c r="AA24">
        <v>147</v>
      </c>
      <c r="AB24" t="s">
        <v>115</v>
      </c>
      <c r="AC24" t="s">
        <v>69</v>
      </c>
      <c r="AD24" t="s">
        <v>71</v>
      </c>
      <c r="AE24" t="s">
        <v>69</v>
      </c>
      <c r="AF24">
        <v>117.148</v>
      </c>
      <c r="AG24" t="s">
        <v>69</v>
      </c>
      <c r="AH24" t="s">
        <v>69</v>
      </c>
    </row>
    <row r="25" spans="1:34" x14ac:dyDescent="0.25">
      <c r="A25">
        <v>7</v>
      </c>
      <c r="B25" t="str">
        <f>HYPERLINK("http://www.ncbi.nlm.nih.gov/protein/XP_015992076.1","XP_015992076.1")</f>
        <v>XP_015992076.1</v>
      </c>
      <c r="C25">
        <v>117142</v>
      </c>
      <c r="D25" t="str">
        <f>HYPERLINK("http://www.ncbi.nlm.nih.gov/Taxonomy/Browser/wwwtax.cgi?mode=Info&amp;id=9407&amp;lvl=3&amp;lin=f&amp;keep=1&amp;srchmode=1&amp;unlock","9407")</f>
        <v>9407</v>
      </c>
      <c r="E25" t="s">
        <v>66</v>
      </c>
      <c r="F25" t="str">
        <f>HYPERLINK("http://www.ncbi.nlm.nih.gov/Taxonomy/Browser/wwwtax.cgi?mode=Info&amp;id=9407&amp;lvl=3&amp;lin=f&amp;keep=1&amp;srchmode=1&amp;unlock","Rousettus aegyptiacus")</f>
        <v>Rousettus aegyptiacus</v>
      </c>
      <c r="G25" t="s">
        <v>103</v>
      </c>
      <c r="H25" t="str">
        <f>HYPERLINK("http://www.ncbi.nlm.nih.gov/protein/XP_015992076.1","40S ribosomal protein S2")</f>
        <v>40S ribosomal protein S2</v>
      </c>
      <c r="I25" t="s">
        <v>118</v>
      </c>
      <c r="J25" t="s">
        <v>69</v>
      </c>
      <c r="K25">
        <v>106</v>
      </c>
      <c r="L25" t="s">
        <v>115</v>
      </c>
      <c r="M25" t="s">
        <v>69</v>
      </c>
      <c r="N25" t="s">
        <v>71</v>
      </c>
      <c r="O25" t="s">
        <v>69</v>
      </c>
      <c r="P25">
        <v>117.148</v>
      </c>
      <c r="Q25" t="s">
        <v>69</v>
      </c>
      <c r="R25" t="s">
        <v>69</v>
      </c>
      <c r="S25">
        <v>146</v>
      </c>
      <c r="T25" t="s">
        <v>119</v>
      </c>
      <c r="U25" t="s">
        <v>69</v>
      </c>
      <c r="V25" t="s">
        <v>120</v>
      </c>
      <c r="W25" t="s">
        <v>69</v>
      </c>
      <c r="X25">
        <v>147.131</v>
      </c>
      <c r="Y25" t="s">
        <v>69</v>
      </c>
      <c r="Z25" t="s">
        <v>69</v>
      </c>
      <c r="AA25">
        <v>147</v>
      </c>
      <c r="AB25" t="s">
        <v>115</v>
      </c>
      <c r="AC25" t="s">
        <v>69</v>
      </c>
      <c r="AD25" t="s">
        <v>71</v>
      </c>
      <c r="AE25" t="s">
        <v>69</v>
      </c>
      <c r="AF25">
        <v>117.148</v>
      </c>
      <c r="AG25" t="s">
        <v>69</v>
      </c>
      <c r="AH25" t="s">
        <v>69</v>
      </c>
    </row>
    <row r="26" spans="1:34" x14ac:dyDescent="0.25">
      <c r="A26">
        <v>7</v>
      </c>
      <c r="B26" t="str">
        <f>HYPERLINK("http://www.ncbi.nlm.nih.gov/protein/NP_032529.2","NP_032529.2")</f>
        <v>NP_032529.2</v>
      </c>
      <c r="C26">
        <v>337449</v>
      </c>
      <c r="D26" t="str">
        <f>HYPERLINK("http://www.ncbi.nlm.nih.gov/Taxonomy/Browser/wwwtax.cgi?mode=Info&amp;id=10090&amp;lvl=3&amp;lin=f&amp;keep=1&amp;srchmode=1&amp;unlock","10090")</f>
        <v>10090</v>
      </c>
      <c r="E26" t="s">
        <v>66</v>
      </c>
      <c r="F26" t="str">
        <f>HYPERLINK("http://www.ncbi.nlm.nih.gov/Taxonomy/Browser/wwwtax.cgi?mode=Info&amp;id=10090&amp;lvl=3&amp;lin=f&amp;keep=1&amp;srchmode=1&amp;unlock","Mus musculus")</f>
        <v>Mus musculus</v>
      </c>
      <c r="G26" t="s">
        <v>104</v>
      </c>
      <c r="H26" t="str">
        <f>HYPERLINK("http://www.ncbi.nlm.nih.gov/protein/NP_032529.2","40S ribosomal protein S2")</f>
        <v>40S ribosomal protein S2</v>
      </c>
      <c r="I26" t="s">
        <v>118</v>
      </c>
      <c r="J26" t="s">
        <v>69</v>
      </c>
      <c r="K26">
        <v>106</v>
      </c>
      <c r="L26" t="s">
        <v>115</v>
      </c>
      <c r="M26" t="s">
        <v>69</v>
      </c>
      <c r="N26" t="s">
        <v>71</v>
      </c>
      <c r="O26" t="s">
        <v>69</v>
      </c>
      <c r="P26">
        <v>117.148</v>
      </c>
      <c r="Q26" t="s">
        <v>69</v>
      </c>
      <c r="R26" t="s">
        <v>69</v>
      </c>
      <c r="S26">
        <v>146</v>
      </c>
      <c r="T26" t="s">
        <v>119</v>
      </c>
      <c r="U26" t="s">
        <v>69</v>
      </c>
      <c r="V26" t="s">
        <v>120</v>
      </c>
      <c r="W26" t="s">
        <v>69</v>
      </c>
      <c r="X26">
        <v>147.131</v>
      </c>
      <c r="Y26" t="s">
        <v>69</v>
      </c>
      <c r="Z26" t="s">
        <v>69</v>
      </c>
      <c r="AA26">
        <v>147</v>
      </c>
      <c r="AB26" t="s">
        <v>115</v>
      </c>
      <c r="AC26" t="s">
        <v>69</v>
      </c>
      <c r="AD26" t="s">
        <v>71</v>
      </c>
      <c r="AE26" t="s">
        <v>69</v>
      </c>
      <c r="AF26">
        <v>117.148</v>
      </c>
      <c r="AG26" t="s">
        <v>69</v>
      </c>
      <c r="AH26" t="s">
        <v>69</v>
      </c>
    </row>
    <row r="27" spans="1:34" x14ac:dyDescent="0.25">
      <c r="A27">
        <v>7</v>
      </c>
      <c r="B27" t="str">
        <f>HYPERLINK("http://www.ncbi.nlm.nih.gov/protein/XP_040604212.1","XP_040604212.1")</f>
        <v>XP_040604212.1</v>
      </c>
      <c r="C27">
        <v>54410</v>
      </c>
      <c r="D27" t="str">
        <f>HYPERLINK("http://www.ncbi.nlm.nih.gov/Taxonomy/Browser/wwwtax.cgi?mode=Info&amp;id=10036&amp;lvl=3&amp;lin=f&amp;keep=1&amp;srchmode=1&amp;unlock","10036")</f>
        <v>10036</v>
      </c>
      <c r="E27" t="s">
        <v>66</v>
      </c>
      <c r="F27" t="str">
        <f>HYPERLINK("http://www.ncbi.nlm.nih.gov/Taxonomy/Browser/wwwtax.cgi?mode=Info&amp;id=10036&amp;lvl=3&amp;lin=f&amp;keep=1&amp;srchmode=1&amp;unlock","Mesocricetus auratus")</f>
        <v>Mesocricetus auratus</v>
      </c>
      <c r="G27" t="s">
        <v>87</v>
      </c>
      <c r="H27" t="str">
        <f>HYPERLINK("http://www.ncbi.nlm.nih.gov/protein/XP_040604212.1","40S ribosomal protein S2")</f>
        <v>40S ribosomal protein S2</v>
      </c>
      <c r="I27" t="s">
        <v>118</v>
      </c>
      <c r="J27" t="s">
        <v>69</v>
      </c>
      <c r="K27">
        <v>106</v>
      </c>
      <c r="L27" t="s">
        <v>115</v>
      </c>
      <c r="M27" t="s">
        <v>69</v>
      </c>
      <c r="N27" t="s">
        <v>71</v>
      </c>
      <c r="O27" t="s">
        <v>69</v>
      </c>
      <c r="P27">
        <v>117.148</v>
      </c>
      <c r="Q27" t="s">
        <v>69</v>
      </c>
      <c r="R27" t="s">
        <v>69</v>
      </c>
      <c r="S27">
        <v>146</v>
      </c>
      <c r="T27" t="s">
        <v>119</v>
      </c>
      <c r="U27" t="s">
        <v>69</v>
      </c>
      <c r="V27" t="s">
        <v>120</v>
      </c>
      <c r="W27" t="s">
        <v>69</v>
      </c>
      <c r="X27">
        <v>147.131</v>
      </c>
      <c r="Y27" t="s">
        <v>69</v>
      </c>
      <c r="Z27" t="s">
        <v>69</v>
      </c>
      <c r="AA27">
        <v>147</v>
      </c>
      <c r="AB27" t="s">
        <v>115</v>
      </c>
      <c r="AC27" t="s">
        <v>69</v>
      </c>
      <c r="AD27" t="s">
        <v>71</v>
      </c>
      <c r="AE27" t="s">
        <v>69</v>
      </c>
      <c r="AF27">
        <v>117.148</v>
      </c>
      <c r="AG27" t="s">
        <v>69</v>
      </c>
      <c r="AH27" t="s">
        <v>69</v>
      </c>
    </row>
    <row r="28" spans="1:34" x14ac:dyDescent="0.25">
      <c r="A28">
        <v>7</v>
      </c>
      <c r="B28" t="str">
        <f>HYPERLINK("http://www.ncbi.nlm.nih.gov/protein/CAD7688945.1","CAD7688945.1")</f>
        <v>CAD7688945.1</v>
      </c>
      <c r="C28">
        <v>27271</v>
      </c>
      <c r="D28" t="str">
        <f>HYPERLINK("http://www.ncbi.nlm.nih.gov/Taxonomy/Browser/wwwtax.cgi?mode=Info&amp;id=34880&amp;lvl=3&amp;lin=f&amp;keep=1&amp;srchmode=1&amp;unlock","34880")</f>
        <v>34880</v>
      </c>
      <c r="E28" t="s">
        <v>66</v>
      </c>
      <c r="F28" t="str">
        <f>HYPERLINK("http://www.ncbi.nlm.nih.gov/Taxonomy/Browser/wwwtax.cgi?mode=Info&amp;id=34880&amp;lvl=3&amp;lin=f&amp;keep=1&amp;srchmode=1&amp;unlock","Nyctereutes procyonoides")</f>
        <v>Nyctereutes procyonoides</v>
      </c>
      <c r="G28" t="s">
        <v>92</v>
      </c>
      <c r="H28" t="str">
        <f>HYPERLINK("http://www.ncbi.nlm.nih.gov/protein/CAD7688945.1","unnamed protein product")</f>
        <v>unnamed protein product</v>
      </c>
      <c r="I28" t="s">
        <v>118</v>
      </c>
      <c r="J28" t="s">
        <v>69</v>
      </c>
      <c r="K28">
        <v>109</v>
      </c>
      <c r="L28" t="s">
        <v>115</v>
      </c>
      <c r="M28" t="s">
        <v>69</v>
      </c>
      <c r="N28" t="s">
        <v>71</v>
      </c>
      <c r="O28" t="s">
        <v>69</v>
      </c>
      <c r="P28">
        <v>117.148</v>
      </c>
      <c r="Q28" t="s">
        <v>69</v>
      </c>
      <c r="R28" t="s">
        <v>69</v>
      </c>
      <c r="S28">
        <v>149</v>
      </c>
      <c r="T28" t="s">
        <v>119</v>
      </c>
      <c r="U28" t="s">
        <v>69</v>
      </c>
      <c r="V28" t="s">
        <v>120</v>
      </c>
      <c r="W28" t="s">
        <v>69</v>
      </c>
      <c r="X28">
        <v>147.131</v>
      </c>
      <c r="Y28" t="s">
        <v>69</v>
      </c>
      <c r="Z28" t="s">
        <v>69</v>
      </c>
      <c r="AA28">
        <v>150</v>
      </c>
      <c r="AB28" t="s">
        <v>115</v>
      </c>
      <c r="AC28" t="s">
        <v>69</v>
      </c>
      <c r="AD28" t="s">
        <v>71</v>
      </c>
      <c r="AE28" t="s">
        <v>69</v>
      </c>
      <c r="AF28">
        <v>117.148</v>
      </c>
      <c r="AG28" t="s">
        <v>69</v>
      </c>
      <c r="AH28" t="s">
        <v>69</v>
      </c>
    </row>
    <row r="29" spans="1:34" x14ac:dyDescent="0.25">
      <c r="A29">
        <v>7</v>
      </c>
      <c r="B29" t="str">
        <f>HYPERLINK("http://www.ncbi.nlm.nih.gov/protein/XP_025840693.1","XP_025840693.1")</f>
        <v>XP_025840693.1</v>
      </c>
      <c r="C29">
        <v>38435</v>
      </c>
      <c r="D29" t="str">
        <f>HYPERLINK("http://www.ncbi.nlm.nih.gov/Taxonomy/Browser/wwwtax.cgi?mode=Info&amp;id=9627&amp;lvl=3&amp;lin=f&amp;keep=1&amp;srchmode=1&amp;unlock","9627")</f>
        <v>9627</v>
      </c>
      <c r="E29" t="s">
        <v>66</v>
      </c>
      <c r="F29" t="str">
        <f>HYPERLINK("http://www.ncbi.nlm.nih.gov/Taxonomy/Browser/wwwtax.cgi?mode=Info&amp;id=9627&amp;lvl=3&amp;lin=f&amp;keep=1&amp;srchmode=1&amp;unlock","Vulpes vulpes")</f>
        <v>Vulpes vulpes</v>
      </c>
      <c r="G29" t="s">
        <v>95</v>
      </c>
      <c r="H29" t="str">
        <f>HYPERLINK("http://www.ncbi.nlm.nih.gov/protein/XP_025840693.1","40S ribosomal protein S2")</f>
        <v>40S ribosomal protein S2</v>
      </c>
      <c r="I29" t="s">
        <v>118</v>
      </c>
      <c r="J29" t="s">
        <v>69</v>
      </c>
      <c r="K29">
        <v>88</v>
      </c>
      <c r="L29" t="s">
        <v>115</v>
      </c>
      <c r="M29" t="s">
        <v>69</v>
      </c>
      <c r="N29" t="s">
        <v>71</v>
      </c>
      <c r="O29" t="s">
        <v>69</v>
      </c>
      <c r="P29">
        <v>117.148</v>
      </c>
      <c r="Q29" t="s">
        <v>69</v>
      </c>
      <c r="R29" t="s">
        <v>69</v>
      </c>
      <c r="S29">
        <v>128</v>
      </c>
      <c r="T29" t="s">
        <v>119</v>
      </c>
      <c r="U29" t="s">
        <v>69</v>
      </c>
      <c r="V29" t="s">
        <v>120</v>
      </c>
      <c r="W29" t="s">
        <v>69</v>
      </c>
      <c r="X29">
        <v>147.131</v>
      </c>
      <c r="Y29" t="s">
        <v>69</v>
      </c>
      <c r="Z29" t="s">
        <v>69</v>
      </c>
      <c r="AA29">
        <v>129</v>
      </c>
      <c r="AB29" t="s">
        <v>115</v>
      </c>
      <c r="AC29" t="s">
        <v>69</v>
      </c>
      <c r="AD29" t="s">
        <v>71</v>
      </c>
      <c r="AE29" t="s">
        <v>69</v>
      </c>
      <c r="AF29">
        <v>117.148</v>
      </c>
      <c r="AG29" t="s">
        <v>69</v>
      </c>
      <c r="AH29" t="s">
        <v>69</v>
      </c>
    </row>
    <row r="30" spans="1:34" x14ac:dyDescent="0.25">
      <c r="A30">
        <v>7</v>
      </c>
      <c r="B30" t="str">
        <f>HYPERLINK("http://www.ncbi.nlm.nih.gov/protein/XP_025777621.1","XP_025777621.1")</f>
        <v>XP_025777621.1</v>
      </c>
      <c r="C30">
        <v>23623</v>
      </c>
      <c r="D30" t="str">
        <f>HYPERLINK("http://www.ncbi.nlm.nih.gov/Taxonomy/Browser/wwwtax.cgi?mode=Info&amp;id=9696&amp;lvl=3&amp;lin=f&amp;keep=1&amp;srchmode=1&amp;unlock","9696")</f>
        <v>9696</v>
      </c>
      <c r="E30" t="s">
        <v>66</v>
      </c>
      <c r="F30" t="str">
        <f>HYPERLINK("http://www.ncbi.nlm.nih.gov/Taxonomy/Browser/wwwtax.cgi?mode=Info&amp;id=9696&amp;lvl=3&amp;lin=f&amp;keep=1&amp;srchmode=1&amp;unlock","Puma concolor")</f>
        <v>Puma concolor</v>
      </c>
      <c r="G30" t="s">
        <v>91</v>
      </c>
      <c r="H30" t="str">
        <f>HYPERLINK("http://www.ncbi.nlm.nih.gov/protein/XP_025777621.1","LOW QUALITY PROTEIN: 40S ribosomal protein S2-like")</f>
        <v>LOW QUALITY PROTEIN: 40S ribosomal protein S2-like</v>
      </c>
      <c r="I30" t="s">
        <v>118</v>
      </c>
      <c r="J30" t="s">
        <v>69</v>
      </c>
      <c r="K30">
        <v>110</v>
      </c>
      <c r="L30" t="s">
        <v>115</v>
      </c>
      <c r="M30" t="s">
        <v>69</v>
      </c>
      <c r="N30" t="s">
        <v>71</v>
      </c>
      <c r="O30" t="s">
        <v>69</v>
      </c>
      <c r="P30">
        <v>117.148</v>
      </c>
      <c r="Q30" t="s">
        <v>69</v>
      </c>
      <c r="R30" t="s">
        <v>69</v>
      </c>
      <c r="S30">
        <v>150</v>
      </c>
      <c r="T30" t="s">
        <v>119</v>
      </c>
      <c r="U30" t="s">
        <v>69</v>
      </c>
      <c r="V30" t="s">
        <v>120</v>
      </c>
      <c r="W30" t="s">
        <v>69</v>
      </c>
      <c r="X30">
        <v>147.131</v>
      </c>
      <c r="Y30" t="s">
        <v>69</v>
      </c>
      <c r="Z30" t="s">
        <v>69</v>
      </c>
      <c r="AA30">
        <v>151</v>
      </c>
      <c r="AB30" t="s">
        <v>115</v>
      </c>
      <c r="AC30" t="s">
        <v>69</v>
      </c>
      <c r="AD30" t="s">
        <v>71</v>
      </c>
      <c r="AE30" t="s">
        <v>69</v>
      </c>
      <c r="AF30">
        <v>117.148</v>
      </c>
      <c r="AG30" t="s">
        <v>69</v>
      </c>
      <c r="AH30" t="s">
        <v>69</v>
      </c>
    </row>
    <row r="31" spans="1:34" x14ac:dyDescent="0.25">
      <c r="A31">
        <v>7</v>
      </c>
      <c r="B31" t="str">
        <f>HYPERLINK("http://www.ncbi.nlm.nih.gov/protein/XP_025060437.1","XP_025060437.1")</f>
        <v>XP_025060437.1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HYPERLINK("http://www.ncbi.nlm.nih.gov/protein/XP_025060437.1","40S ribosomal protein S2")</f>
        <v>40S ribosomal protein S2</v>
      </c>
      <c r="I31" t="s">
        <v>118</v>
      </c>
      <c r="J31" t="s">
        <v>69</v>
      </c>
      <c r="K31">
        <v>52</v>
      </c>
      <c r="L31" t="s">
        <v>115</v>
      </c>
      <c r="M31" t="s">
        <v>69</v>
      </c>
      <c r="N31" t="s">
        <v>71</v>
      </c>
      <c r="O31" t="s">
        <v>69</v>
      </c>
      <c r="P31">
        <v>117.148</v>
      </c>
      <c r="Q31" t="s">
        <v>69</v>
      </c>
      <c r="R31" t="s">
        <v>69</v>
      </c>
      <c r="S31">
        <v>92</v>
      </c>
      <c r="T31" t="s">
        <v>119</v>
      </c>
      <c r="U31" t="s">
        <v>69</v>
      </c>
      <c r="V31" t="s">
        <v>120</v>
      </c>
      <c r="W31" t="s">
        <v>69</v>
      </c>
      <c r="X31">
        <v>147.131</v>
      </c>
      <c r="Y31" t="s">
        <v>69</v>
      </c>
      <c r="Z31" t="s">
        <v>69</v>
      </c>
      <c r="AA31">
        <v>93</v>
      </c>
      <c r="AB31" t="s">
        <v>115</v>
      </c>
      <c r="AC31" t="s">
        <v>69</v>
      </c>
      <c r="AD31" t="s">
        <v>71</v>
      </c>
      <c r="AE31" t="s">
        <v>69</v>
      </c>
      <c r="AF31">
        <v>117.148</v>
      </c>
      <c r="AG31" t="s">
        <v>69</v>
      </c>
      <c r="AH31" t="s">
        <v>69</v>
      </c>
    </row>
    <row r="32" spans="1:34" x14ac:dyDescent="0.25">
      <c r="A32">
        <v>7</v>
      </c>
      <c r="B32" t="str">
        <f>HYPERLINK("http://www.ncbi.nlm.nih.gov/protein/XP_039542575.1","XP_039542575.1")</f>
        <v>XP_039542575.1</v>
      </c>
      <c r="C32">
        <v>96114</v>
      </c>
      <c r="D32" t="str">
        <f>HYPERLINK("http://www.ncbi.nlm.nih.gov/Taxonomy/Browser/wwwtax.cgi?mode=Info&amp;id=90988&amp;lvl=3&amp;lin=f&amp;keep=1&amp;srchmode=1&amp;unlock","90988")</f>
        <v>90988</v>
      </c>
      <c r="E32" t="s">
        <v>113</v>
      </c>
      <c r="F32" t="str">
        <f>HYPERLINK("http://www.ncbi.nlm.nih.gov/Taxonomy/Browser/wwwtax.cgi?mode=Info&amp;id=90988&amp;lvl=3&amp;lin=f&amp;keep=1&amp;srchmode=1&amp;unlock","Pimephales promelas")</f>
        <v>Pimephales promelas</v>
      </c>
      <c r="G32" t="s">
        <v>114</v>
      </c>
      <c r="H32" t="str">
        <f>HYPERLINK("http://www.ncbi.nlm.nih.gov/protein/XP_039542575.1","40S ribosomal protein S2")</f>
        <v>40S ribosomal protein S2</v>
      </c>
      <c r="I32" t="s">
        <v>118</v>
      </c>
      <c r="J32" t="s">
        <v>69</v>
      </c>
      <c r="K32">
        <v>92</v>
      </c>
      <c r="L32" t="s">
        <v>115</v>
      </c>
      <c r="M32" t="s">
        <v>69</v>
      </c>
      <c r="N32" t="s">
        <v>71</v>
      </c>
      <c r="O32" t="s">
        <v>69</v>
      </c>
      <c r="P32">
        <v>117.148</v>
      </c>
      <c r="Q32" t="s">
        <v>69</v>
      </c>
      <c r="R32" t="s">
        <v>69</v>
      </c>
      <c r="S32">
        <v>132</v>
      </c>
      <c r="T32" t="s">
        <v>119</v>
      </c>
      <c r="U32" t="s">
        <v>69</v>
      </c>
      <c r="V32" t="s">
        <v>120</v>
      </c>
      <c r="W32" t="s">
        <v>69</v>
      </c>
      <c r="X32">
        <v>147.131</v>
      </c>
      <c r="Y32" t="s">
        <v>69</v>
      </c>
      <c r="Z32" t="s">
        <v>69</v>
      </c>
      <c r="AA32">
        <v>133</v>
      </c>
      <c r="AB32" t="s">
        <v>115</v>
      </c>
      <c r="AC32" t="s">
        <v>69</v>
      </c>
      <c r="AD32" t="s">
        <v>71</v>
      </c>
      <c r="AE32" t="s">
        <v>69</v>
      </c>
      <c r="AF32">
        <v>117.148</v>
      </c>
      <c r="AG32" t="s">
        <v>69</v>
      </c>
      <c r="AH32" t="s">
        <v>69</v>
      </c>
    </row>
    <row r="33" spans="1:34" x14ac:dyDescent="0.25">
      <c r="A33">
        <v>7</v>
      </c>
      <c r="B33" t="str">
        <f>HYPERLINK("http://www.ncbi.nlm.nih.gov/protein/ELW71250.1","ELW71250.1")</f>
        <v>ELW71250.1</v>
      </c>
      <c r="C33">
        <v>59507</v>
      </c>
      <c r="D33" t="str">
        <f>HYPERLINK("http://www.ncbi.nlm.nih.gov/Taxonomy/Browser/wwwtax.cgi?mode=Info&amp;id=246437&amp;lvl=3&amp;lin=f&amp;keep=1&amp;srchmode=1&amp;unlock","246437")</f>
        <v>246437</v>
      </c>
      <c r="E33" t="s">
        <v>66</v>
      </c>
      <c r="F33" t="str">
        <f>HYPERLINK("http://www.ncbi.nlm.nih.gov/Taxonomy/Browser/wwwtax.cgi?mode=Info&amp;id=246437&amp;lvl=3&amp;lin=f&amp;keep=1&amp;srchmode=1&amp;unlock","Tupaia chinensis")</f>
        <v>Tupaia chinensis</v>
      </c>
      <c r="G33" t="s">
        <v>97</v>
      </c>
      <c r="H33" t="str">
        <f>HYPERLINK("http://www.ncbi.nlm.nih.gov/protein/ELW71250.1","40S ribosomal protein S2")</f>
        <v>40S ribosomal protein S2</v>
      </c>
      <c r="I33" t="s">
        <v>118</v>
      </c>
      <c r="J33" t="s">
        <v>69</v>
      </c>
      <c r="K33">
        <v>72</v>
      </c>
      <c r="L33" t="s">
        <v>115</v>
      </c>
      <c r="M33" t="s">
        <v>69</v>
      </c>
      <c r="N33" t="s">
        <v>71</v>
      </c>
      <c r="O33" t="s">
        <v>69</v>
      </c>
      <c r="P33">
        <v>117.148</v>
      </c>
      <c r="Q33" t="s">
        <v>69</v>
      </c>
      <c r="R33" t="s">
        <v>69</v>
      </c>
      <c r="S33">
        <v>112</v>
      </c>
      <c r="T33" t="s">
        <v>119</v>
      </c>
      <c r="U33" t="s">
        <v>69</v>
      </c>
      <c r="V33" t="s">
        <v>120</v>
      </c>
      <c r="W33" t="s">
        <v>69</v>
      </c>
      <c r="X33">
        <v>147.131</v>
      </c>
      <c r="Y33" t="s">
        <v>69</v>
      </c>
      <c r="Z33" t="s">
        <v>69</v>
      </c>
      <c r="AA33">
        <v>113</v>
      </c>
      <c r="AB33" t="s">
        <v>115</v>
      </c>
      <c r="AC33" t="s">
        <v>69</v>
      </c>
      <c r="AD33" t="s">
        <v>71</v>
      </c>
      <c r="AE33" t="s">
        <v>69</v>
      </c>
      <c r="AF33">
        <v>117.148</v>
      </c>
      <c r="AG33" t="s">
        <v>69</v>
      </c>
      <c r="AH33"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33"/>
  <sheetViews>
    <sheetView workbookViewId="0"/>
  </sheetViews>
  <sheetFormatPr defaultRowHeight="15" x14ac:dyDescent="0.25"/>
  <cols>
    <col min="8" max="8" width="33" customWidth="1"/>
  </cols>
  <sheetData>
    <row r="1" spans="1:90"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row>
    <row r="2" spans="1:90" x14ac:dyDescent="0.25">
      <c r="A2">
        <v>7</v>
      </c>
      <c r="B2" t="str">
        <f>HYPERLINK("http://www.ncbi.nlm.nih.gov/protein/NP_002943.2","NP_002943.2")</f>
        <v>NP_002943.2</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HYPERLINK("http://www.ncbi.nlm.nih.gov/protein/NP_002943.2","40S ribosomal protein S2")</f>
        <v>40S ribosomal protein S2</v>
      </c>
      <c r="I2" t="s">
        <v>118</v>
      </c>
      <c r="J2" t="s">
        <v>69</v>
      </c>
      <c r="K2">
        <v>105</v>
      </c>
      <c r="L2" t="s">
        <v>119</v>
      </c>
      <c r="M2" t="s">
        <v>69</v>
      </c>
      <c r="N2" t="s">
        <v>120</v>
      </c>
      <c r="O2" t="s">
        <v>69</v>
      </c>
      <c r="P2">
        <v>147.131</v>
      </c>
      <c r="Q2" t="s">
        <v>69</v>
      </c>
      <c r="R2" t="s">
        <v>69</v>
      </c>
      <c r="S2">
        <v>107</v>
      </c>
      <c r="T2" t="s">
        <v>72</v>
      </c>
      <c r="U2" t="s">
        <v>69</v>
      </c>
      <c r="V2" t="s">
        <v>71</v>
      </c>
      <c r="W2" t="s">
        <v>69</v>
      </c>
      <c r="X2">
        <v>131.17500000000001</v>
      </c>
      <c r="Y2" t="s">
        <v>69</v>
      </c>
      <c r="Z2" t="s">
        <v>69</v>
      </c>
      <c r="AA2">
        <v>109</v>
      </c>
      <c r="AB2" t="s">
        <v>145</v>
      </c>
      <c r="AC2" t="s">
        <v>69</v>
      </c>
      <c r="AD2" t="s">
        <v>71</v>
      </c>
      <c r="AE2" t="s">
        <v>69</v>
      </c>
      <c r="AF2">
        <v>131.17500000000001</v>
      </c>
      <c r="AG2" t="s">
        <v>69</v>
      </c>
      <c r="AH2" t="s">
        <v>69</v>
      </c>
      <c r="AI2">
        <v>111</v>
      </c>
      <c r="AJ2" t="s">
        <v>146</v>
      </c>
      <c r="AK2" t="s">
        <v>69</v>
      </c>
      <c r="AL2" t="s">
        <v>71</v>
      </c>
      <c r="AM2" t="s">
        <v>69</v>
      </c>
      <c r="AN2">
        <v>115.13200000000001</v>
      </c>
      <c r="AO2" t="s">
        <v>69</v>
      </c>
      <c r="AP2" t="s">
        <v>69</v>
      </c>
      <c r="AQ2">
        <v>113</v>
      </c>
      <c r="AR2" t="s">
        <v>147</v>
      </c>
      <c r="AS2" t="s">
        <v>69</v>
      </c>
      <c r="AT2" t="s">
        <v>148</v>
      </c>
      <c r="AU2" t="s">
        <v>69</v>
      </c>
      <c r="AV2">
        <v>146.14599999999999</v>
      </c>
      <c r="AW2" t="s">
        <v>69</v>
      </c>
      <c r="AX2" t="s">
        <v>69</v>
      </c>
      <c r="AY2">
        <v>122</v>
      </c>
      <c r="AZ2" t="s">
        <v>149</v>
      </c>
      <c r="BA2" t="s">
        <v>69</v>
      </c>
      <c r="BB2" t="s">
        <v>150</v>
      </c>
      <c r="BC2" t="s">
        <v>69</v>
      </c>
      <c r="BD2">
        <v>119.119</v>
      </c>
      <c r="BE2" t="s">
        <v>69</v>
      </c>
      <c r="BF2" t="s">
        <v>69</v>
      </c>
      <c r="BG2">
        <v>124</v>
      </c>
      <c r="BH2" t="s">
        <v>151</v>
      </c>
      <c r="BI2" t="s">
        <v>69</v>
      </c>
      <c r="BJ2" t="s">
        <v>152</v>
      </c>
      <c r="BK2" t="s">
        <v>69</v>
      </c>
      <c r="BL2">
        <v>165.19200000000001</v>
      </c>
      <c r="BM2" t="s">
        <v>69</v>
      </c>
      <c r="BN2" t="s">
        <v>69</v>
      </c>
      <c r="BO2">
        <v>145</v>
      </c>
      <c r="BP2" t="s">
        <v>76</v>
      </c>
      <c r="BQ2" t="s">
        <v>69</v>
      </c>
      <c r="BR2" t="s">
        <v>75</v>
      </c>
      <c r="BS2" t="s">
        <v>69</v>
      </c>
      <c r="BT2">
        <v>146.18899999999999</v>
      </c>
      <c r="BU2" t="s">
        <v>69</v>
      </c>
      <c r="BV2" t="s">
        <v>69</v>
      </c>
      <c r="BW2">
        <v>148</v>
      </c>
      <c r="BX2" t="s">
        <v>73</v>
      </c>
      <c r="BY2" t="s">
        <v>69</v>
      </c>
      <c r="BZ2" t="s">
        <v>71</v>
      </c>
      <c r="CA2" t="s">
        <v>69</v>
      </c>
      <c r="CB2">
        <v>89.093999999999994</v>
      </c>
      <c r="CC2" t="s">
        <v>69</v>
      </c>
      <c r="CD2" t="s">
        <v>69</v>
      </c>
      <c r="CE2">
        <v>151</v>
      </c>
      <c r="CF2" t="s">
        <v>145</v>
      </c>
      <c r="CG2" t="s">
        <v>69</v>
      </c>
      <c r="CH2" t="s">
        <v>71</v>
      </c>
      <c r="CI2" t="s">
        <v>69</v>
      </c>
      <c r="CJ2">
        <v>131.17500000000001</v>
      </c>
      <c r="CK2" t="s">
        <v>69</v>
      </c>
      <c r="CL2" t="s">
        <v>69</v>
      </c>
    </row>
    <row r="3" spans="1:90" x14ac:dyDescent="0.25">
      <c r="A3">
        <v>7</v>
      </c>
      <c r="B3" t="str">
        <f>HYPERLINK("http://www.ncbi.nlm.nih.gov/protein/XP_014980818.1","XP_014980818.1")</f>
        <v>XP_014980818.1</v>
      </c>
      <c r="C3">
        <v>178339</v>
      </c>
      <c r="D3" t="str">
        <f>HYPERLINK("http://www.ncbi.nlm.nih.gov/Taxonomy/Browser/wwwtax.cgi?mode=Info&amp;id=9544&amp;lvl=3&amp;lin=f&amp;keep=1&amp;srchmode=1&amp;unlock","9544")</f>
        <v>9544</v>
      </c>
      <c r="E3" t="s">
        <v>66</v>
      </c>
      <c r="F3" t="str">
        <f>HYPERLINK("http://www.ncbi.nlm.nih.gov/Taxonomy/Browser/wwwtax.cgi?mode=Info&amp;id=9544&amp;lvl=3&amp;lin=f&amp;keep=1&amp;srchmode=1&amp;unlock","Macaca mulatta")</f>
        <v>Macaca mulatta</v>
      </c>
      <c r="G3" t="s">
        <v>77</v>
      </c>
      <c r="H3" t="str">
        <f>HYPERLINK("http://www.ncbi.nlm.nih.gov/protein/XP_014980818.1","40S ribosomal protein S2 isoform X1")</f>
        <v>40S ribosomal protein S2 isoform X1</v>
      </c>
      <c r="I3" t="s">
        <v>118</v>
      </c>
      <c r="J3" t="s">
        <v>69</v>
      </c>
      <c r="K3">
        <v>105</v>
      </c>
      <c r="L3" t="s">
        <v>119</v>
      </c>
      <c r="M3" t="s">
        <v>69</v>
      </c>
      <c r="N3" t="s">
        <v>120</v>
      </c>
      <c r="O3" t="s">
        <v>69</v>
      </c>
      <c r="P3">
        <v>147.131</v>
      </c>
      <c r="Q3" t="s">
        <v>69</v>
      </c>
      <c r="R3" t="s">
        <v>69</v>
      </c>
      <c r="S3">
        <v>107</v>
      </c>
      <c r="T3" t="s">
        <v>72</v>
      </c>
      <c r="U3" t="s">
        <v>69</v>
      </c>
      <c r="V3" t="s">
        <v>71</v>
      </c>
      <c r="W3" t="s">
        <v>69</v>
      </c>
      <c r="X3">
        <v>131.17500000000001</v>
      </c>
      <c r="Y3" t="s">
        <v>69</v>
      </c>
      <c r="Z3" t="s">
        <v>69</v>
      </c>
      <c r="AA3">
        <v>109</v>
      </c>
      <c r="AB3" t="s">
        <v>145</v>
      </c>
      <c r="AC3" t="s">
        <v>69</v>
      </c>
      <c r="AD3" t="s">
        <v>71</v>
      </c>
      <c r="AE3" t="s">
        <v>69</v>
      </c>
      <c r="AF3">
        <v>131.17500000000001</v>
      </c>
      <c r="AG3" t="s">
        <v>69</v>
      </c>
      <c r="AH3" t="s">
        <v>69</v>
      </c>
      <c r="AI3">
        <v>111</v>
      </c>
      <c r="AJ3" t="s">
        <v>146</v>
      </c>
      <c r="AK3" t="s">
        <v>69</v>
      </c>
      <c r="AL3" t="s">
        <v>71</v>
      </c>
      <c r="AM3" t="s">
        <v>69</v>
      </c>
      <c r="AN3">
        <v>115.13200000000001</v>
      </c>
      <c r="AO3" t="s">
        <v>69</v>
      </c>
      <c r="AP3" t="s">
        <v>69</v>
      </c>
      <c r="AQ3">
        <v>113</v>
      </c>
      <c r="AR3" t="s">
        <v>147</v>
      </c>
      <c r="AS3" t="s">
        <v>69</v>
      </c>
      <c r="AT3" t="s">
        <v>148</v>
      </c>
      <c r="AU3" t="s">
        <v>69</v>
      </c>
      <c r="AV3">
        <v>146.14599999999999</v>
      </c>
      <c r="AW3" t="s">
        <v>69</v>
      </c>
      <c r="AX3" t="s">
        <v>69</v>
      </c>
      <c r="AY3">
        <v>122</v>
      </c>
      <c r="AZ3" t="s">
        <v>149</v>
      </c>
      <c r="BA3" t="s">
        <v>69</v>
      </c>
      <c r="BB3" t="s">
        <v>150</v>
      </c>
      <c r="BC3" t="s">
        <v>69</v>
      </c>
      <c r="BD3">
        <v>119.119</v>
      </c>
      <c r="BE3" t="s">
        <v>69</v>
      </c>
      <c r="BF3" t="s">
        <v>69</v>
      </c>
      <c r="BG3">
        <v>124</v>
      </c>
      <c r="BH3" t="s">
        <v>151</v>
      </c>
      <c r="BI3" t="s">
        <v>69</v>
      </c>
      <c r="BJ3" t="s">
        <v>152</v>
      </c>
      <c r="BK3" t="s">
        <v>69</v>
      </c>
      <c r="BL3">
        <v>165.19200000000001</v>
      </c>
      <c r="BM3" t="s">
        <v>69</v>
      </c>
      <c r="BN3" t="s">
        <v>69</v>
      </c>
      <c r="BO3">
        <v>145</v>
      </c>
      <c r="BP3" t="s">
        <v>76</v>
      </c>
      <c r="BQ3" t="s">
        <v>69</v>
      </c>
      <c r="BR3" t="s">
        <v>75</v>
      </c>
      <c r="BS3" t="s">
        <v>69</v>
      </c>
      <c r="BT3">
        <v>146.18899999999999</v>
      </c>
      <c r="BU3" t="s">
        <v>69</v>
      </c>
      <c r="BV3" t="s">
        <v>69</v>
      </c>
      <c r="BW3">
        <v>148</v>
      </c>
      <c r="BX3" t="s">
        <v>73</v>
      </c>
      <c r="BY3" t="s">
        <v>69</v>
      </c>
      <c r="BZ3" t="s">
        <v>71</v>
      </c>
      <c r="CA3" t="s">
        <v>69</v>
      </c>
      <c r="CB3">
        <v>89.093999999999994</v>
      </c>
      <c r="CC3" t="s">
        <v>69</v>
      </c>
      <c r="CD3" t="s">
        <v>69</v>
      </c>
      <c r="CE3">
        <v>151</v>
      </c>
      <c r="CF3" t="s">
        <v>145</v>
      </c>
      <c r="CG3" t="s">
        <v>69</v>
      </c>
      <c r="CH3" t="s">
        <v>71</v>
      </c>
      <c r="CI3" t="s">
        <v>69</v>
      </c>
      <c r="CJ3">
        <v>131.17500000000001</v>
      </c>
      <c r="CK3" t="s">
        <v>69</v>
      </c>
      <c r="CL3" t="s">
        <v>69</v>
      </c>
    </row>
    <row r="4" spans="1:90" x14ac:dyDescent="0.25">
      <c r="A4">
        <v>7</v>
      </c>
      <c r="B4" t="str">
        <f>HYPERLINK("http://www.ncbi.nlm.nih.gov/protein/XP_007980164.1","XP_007980164.1")</f>
        <v>XP_007980164.1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HYPERLINK("http://www.ncbi.nlm.nih.gov/protein/XP_007980164.1","40S ribosomal protein S2 isoform X1")</f>
        <v>40S ribosomal protein S2 isoform X1</v>
      </c>
      <c r="I4" t="s">
        <v>118</v>
      </c>
      <c r="J4" t="s">
        <v>69</v>
      </c>
      <c r="K4">
        <v>105</v>
      </c>
      <c r="L4" t="s">
        <v>119</v>
      </c>
      <c r="M4" t="s">
        <v>69</v>
      </c>
      <c r="N4" t="s">
        <v>120</v>
      </c>
      <c r="O4" t="s">
        <v>69</v>
      </c>
      <c r="P4">
        <v>147.131</v>
      </c>
      <c r="Q4" t="s">
        <v>69</v>
      </c>
      <c r="R4" t="s">
        <v>69</v>
      </c>
      <c r="S4">
        <v>107</v>
      </c>
      <c r="T4" t="s">
        <v>72</v>
      </c>
      <c r="U4" t="s">
        <v>69</v>
      </c>
      <c r="V4" t="s">
        <v>71</v>
      </c>
      <c r="W4" t="s">
        <v>69</v>
      </c>
      <c r="X4">
        <v>131.17500000000001</v>
      </c>
      <c r="Y4" t="s">
        <v>69</v>
      </c>
      <c r="Z4" t="s">
        <v>69</v>
      </c>
      <c r="AA4">
        <v>109</v>
      </c>
      <c r="AB4" t="s">
        <v>145</v>
      </c>
      <c r="AC4" t="s">
        <v>69</v>
      </c>
      <c r="AD4" t="s">
        <v>71</v>
      </c>
      <c r="AE4" t="s">
        <v>69</v>
      </c>
      <c r="AF4">
        <v>131.17500000000001</v>
      </c>
      <c r="AG4" t="s">
        <v>69</v>
      </c>
      <c r="AH4" t="s">
        <v>69</v>
      </c>
      <c r="AI4">
        <v>111</v>
      </c>
      <c r="AJ4" t="s">
        <v>146</v>
      </c>
      <c r="AK4" t="s">
        <v>69</v>
      </c>
      <c r="AL4" t="s">
        <v>71</v>
      </c>
      <c r="AM4" t="s">
        <v>69</v>
      </c>
      <c r="AN4">
        <v>115.13200000000001</v>
      </c>
      <c r="AO4" t="s">
        <v>69</v>
      </c>
      <c r="AP4" t="s">
        <v>69</v>
      </c>
      <c r="AQ4">
        <v>113</v>
      </c>
      <c r="AR4" t="s">
        <v>147</v>
      </c>
      <c r="AS4" t="s">
        <v>69</v>
      </c>
      <c r="AT4" t="s">
        <v>148</v>
      </c>
      <c r="AU4" t="s">
        <v>69</v>
      </c>
      <c r="AV4">
        <v>146.14599999999999</v>
      </c>
      <c r="AW4" t="s">
        <v>69</v>
      </c>
      <c r="AX4" t="s">
        <v>69</v>
      </c>
      <c r="AY4">
        <v>122</v>
      </c>
      <c r="AZ4" t="s">
        <v>149</v>
      </c>
      <c r="BA4" t="s">
        <v>69</v>
      </c>
      <c r="BB4" t="s">
        <v>150</v>
      </c>
      <c r="BC4" t="s">
        <v>69</v>
      </c>
      <c r="BD4">
        <v>119.119</v>
      </c>
      <c r="BE4" t="s">
        <v>69</v>
      </c>
      <c r="BF4" t="s">
        <v>69</v>
      </c>
      <c r="BG4">
        <v>124</v>
      </c>
      <c r="BH4" t="s">
        <v>151</v>
      </c>
      <c r="BI4" t="s">
        <v>69</v>
      </c>
      <c r="BJ4" t="s">
        <v>152</v>
      </c>
      <c r="BK4" t="s">
        <v>69</v>
      </c>
      <c r="BL4">
        <v>165.19200000000001</v>
      </c>
      <c r="BM4" t="s">
        <v>69</v>
      </c>
      <c r="BN4" t="s">
        <v>69</v>
      </c>
      <c r="BO4">
        <v>145</v>
      </c>
      <c r="BP4" t="s">
        <v>76</v>
      </c>
      <c r="BQ4" t="s">
        <v>69</v>
      </c>
      <c r="BR4" t="s">
        <v>75</v>
      </c>
      <c r="BS4" t="s">
        <v>69</v>
      </c>
      <c r="BT4">
        <v>146.18899999999999</v>
      </c>
      <c r="BU4" t="s">
        <v>69</v>
      </c>
      <c r="BV4" t="s">
        <v>69</v>
      </c>
      <c r="BW4">
        <v>148</v>
      </c>
      <c r="BX4" t="s">
        <v>73</v>
      </c>
      <c r="BY4" t="s">
        <v>69</v>
      </c>
      <c r="BZ4" t="s">
        <v>71</v>
      </c>
      <c r="CA4" t="s">
        <v>69</v>
      </c>
      <c r="CB4">
        <v>89.093999999999994</v>
      </c>
      <c r="CC4" t="s">
        <v>69</v>
      </c>
      <c r="CD4" t="s">
        <v>69</v>
      </c>
      <c r="CE4">
        <v>151</v>
      </c>
      <c r="CF4" t="s">
        <v>145</v>
      </c>
      <c r="CG4" t="s">
        <v>69</v>
      </c>
      <c r="CH4" t="s">
        <v>71</v>
      </c>
      <c r="CI4" t="s">
        <v>69</v>
      </c>
      <c r="CJ4">
        <v>131.17500000000001</v>
      </c>
      <c r="CK4" t="s">
        <v>69</v>
      </c>
      <c r="CL4" t="s">
        <v>69</v>
      </c>
    </row>
    <row r="5" spans="1:90" x14ac:dyDescent="0.25">
      <c r="A5">
        <v>7</v>
      </c>
      <c r="B5" t="str">
        <f>HYPERLINK("http://www.ncbi.nlm.nih.gov/protein/XP_004057030.1","XP_004057030.1")</f>
        <v>XP_004057030.1</v>
      </c>
      <c r="C5">
        <v>52137</v>
      </c>
      <c r="D5" t="str">
        <f>HYPERLINK("http://www.ncbi.nlm.nih.gov/Taxonomy/Browser/wwwtax.cgi?mode=Info&amp;id=9595&amp;lvl=3&amp;lin=f&amp;keep=1&amp;srchmode=1&amp;unlock","9595")</f>
        <v>9595</v>
      </c>
      <c r="E5" t="s">
        <v>66</v>
      </c>
      <c r="F5" t="str">
        <f>HYPERLINK("http://www.ncbi.nlm.nih.gov/Taxonomy/Browser/wwwtax.cgi?mode=Info&amp;id=9595&amp;lvl=3&amp;lin=f&amp;keep=1&amp;srchmode=1&amp;unlock","Gorilla gorilla gorilla")</f>
        <v>Gorilla gorilla gorilla</v>
      </c>
      <c r="G5" t="s">
        <v>79</v>
      </c>
      <c r="H5" t="str">
        <f>HYPERLINK("http://www.ncbi.nlm.nih.gov/protein/XP_004057030.1","40S ribosomal protein S2")</f>
        <v>40S ribosomal protein S2</v>
      </c>
      <c r="I5" t="s">
        <v>118</v>
      </c>
      <c r="J5" t="s">
        <v>69</v>
      </c>
      <c r="K5">
        <v>105</v>
      </c>
      <c r="L5" t="s">
        <v>119</v>
      </c>
      <c r="M5" t="s">
        <v>69</v>
      </c>
      <c r="N5" t="s">
        <v>120</v>
      </c>
      <c r="O5" t="s">
        <v>69</v>
      </c>
      <c r="P5">
        <v>147.131</v>
      </c>
      <c r="Q5" t="s">
        <v>69</v>
      </c>
      <c r="R5" t="s">
        <v>69</v>
      </c>
      <c r="S5">
        <v>107</v>
      </c>
      <c r="T5" t="s">
        <v>72</v>
      </c>
      <c r="U5" t="s">
        <v>69</v>
      </c>
      <c r="V5" t="s">
        <v>71</v>
      </c>
      <c r="W5" t="s">
        <v>69</v>
      </c>
      <c r="X5">
        <v>131.17500000000001</v>
      </c>
      <c r="Y5" t="s">
        <v>69</v>
      </c>
      <c r="Z5" t="s">
        <v>69</v>
      </c>
      <c r="AA5">
        <v>109</v>
      </c>
      <c r="AB5" t="s">
        <v>145</v>
      </c>
      <c r="AC5" t="s">
        <v>69</v>
      </c>
      <c r="AD5" t="s">
        <v>71</v>
      </c>
      <c r="AE5" t="s">
        <v>69</v>
      </c>
      <c r="AF5">
        <v>131.17500000000001</v>
      </c>
      <c r="AG5" t="s">
        <v>69</v>
      </c>
      <c r="AH5" t="s">
        <v>69</v>
      </c>
      <c r="AI5">
        <v>111</v>
      </c>
      <c r="AJ5" t="s">
        <v>146</v>
      </c>
      <c r="AK5" t="s">
        <v>69</v>
      </c>
      <c r="AL5" t="s">
        <v>71</v>
      </c>
      <c r="AM5" t="s">
        <v>69</v>
      </c>
      <c r="AN5">
        <v>115.13200000000001</v>
      </c>
      <c r="AO5" t="s">
        <v>69</v>
      </c>
      <c r="AP5" t="s">
        <v>69</v>
      </c>
      <c r="AQ5">
        <v>113</v>
      </c>
      <c r="AR5" t="s">
        <v>147</v>
      </c>
      <c r="AS5" t="s">
        <v>69</v>
      </c>
      <c r="AT5" t="s">
        <v>148</v>
      </c>
      <c r="AU5" t="s">
        <v>69</v>
      </c>
      <c r="AV5">
        <v>146.14599999999999</v>
      </c>
      <c r="AW5" t="s">
        <v>69</v>
      </c>
      <c r="AX5" t="s">
        <v>69</v>
      </c>
      <c r="AY5">
        <v>122</v>
      </c>
      <c r="AZ5" t="s">
        <v>149</v>
      </c>
      <c r="BA5" t="s">
        <v>69</v>
      </c>
      <c r="BB5" t="s">
        <v>150</v>
      </c>
      <c r="BC5" t="s">
        <v>69</v>
      </c>
      <c r="BD5">
        <v>119.119</v>
      </c>
      <c r="BE5" t="s">
        <v>69</v>
      </c>
      <c r="BF5" t="s">
        <v>69</v>
      </c>
      <c r="BG5">
        <v>124</v>
      </c>
      <c r="BH5" t="s">
        <v>151</v>
      </c>
      <c r="BI5" t="s">
        <v>69</v>
      </c>
      <c r="BJ5" t="s">
        <v>152</v>
      </c>
      <c r="BK5" t="s">
        <v>69</v>
      </c>
      <c r="BL5">
        <v>165.19200000000001</v>
      </c>
      <c r="BM5" t="s">
        <v>69</v>
      </c>
      <c r="BN5" t="s">
        <v>69</v>
      </c>
      <c r="BO5">
        <v>145</v>
      </c>
      <c r="BP5" t="s">
        <v>76</v>
      </c>
      <c r="BQ5" t="s">
        <v>69</v>
      </c>
      <c r="BR5" t="s">
        <v>75</v>
      </c>
      <c r="BS5" t="s">
        <v>69</v>
      </c>
      <c r="BT5">
        <v>146.18899999999999</v>
      </c>
      <c r="BU5" t="s">
        <v>69</v>
      </c>
      <c r="BV5" t="s">
        <v>69</v>
      </c>
      <c r="BW5">
        <v>148</v>
      </c>
      <c r="BX5" t="s">
        <v>73</v>
      </c>
      <c r="BY5" t="s">
        <v>69</v>
      </c>
      <c r="BZ5" t="s">
        <v>71</v>
      </c>
      <c r="CA5" t="s">
        <v>69</v>
      </c>
      <c r="CB5">
        <v>89.093999999999994</v>
      </c>
      <c r="CC5" t="s">
        <v>69</v>
      </c>
      <c r="CD5" t="s">
        <v>69</v>
      </c>
      <c r="CE5">
        <v>151</v>
      </c>
      <c r="CF5" t="s">
        <v>145</v>
      </c>
      <c r="CG5" t="s">
        <v>69</v>
      </c>
      <c r="CH5" t="s">
        <v>71</v>
      </c>
      <c r="CI5" t="s">
        <v>69</v>
      </c>
      <c r="CJ5">
        <v>131.17500000000001</v>
      </c>
      <c r="CK5" t="s">
        <v>69</v>
      </c>
      <c r="CL5" t="s">
        <v>69</v>
      </c>
    </row>
    <row r="6" spans="1:90" x14ac:dyDescent="0.25">
      <c r="A6">
        <v>7</v>
      </c>
      <c r="B6" t="str">
        <f>HYPERLINK("http://www.ncbi.nlm.nih.gov/protein/XP_021787339.2","XP_021787339.2")</f>
        <v>XP_021787339.2</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HYPERLINK("http://www.ncbi.nlm.nih.gov/protein/XP_021787339.2","40S ribosomal protein S2")</f>
        <v>40S ribosomal protein S2</v>
      </c>
      <c r="I6" t="s">
        <v>118</v>
      </c>
      <c r="J6" t="s">
        <v>69</v>
      </c>
      <c r="K6">
        <v>105</v>
      </c>
      <c r="L6" t="s">
        <v>119</v>
      </c>
      <c r="M6" t="s">
        <v>69</v>
      </c>
      <c r="N6" t="s">
        <v>120</v>
      </c>
      <c r="O6" t="s">
        <v>69</v>
      </c>
      <c r="P6">
        <v>147.131</v>
      </c>
      <c r="Q6" t="s">
        <v>69</v>
      </c>
      <c r="R6" t="s">
        <v>69</v>
      </c>
      <c r="S6">
        <v>107</v>
      </c>
      <c r="T6" t="s">
        <v>72</v>
      </c>
      <c r="U6" t="s">
        <v>69</v>
      </c>
      <c r="V6" t="s">
        <v>71</v>
      </c>
      <c r="W6" t="s">
        <v>69</v>
      </c>
      <c r="X6">
        <v>131.17500000000001</v>
      </c>
      <c r="Y6" t="s">
        <v>69</v>
      </c>
      <c r="Z6" t="s">
        <v>69</v>
      </c>
      <c r="AA6">
        <v>109</v>
      </c>
      <c r="AB6" t="s">
        <v>145</v>
      </c>
      <c r="AC6" t="s">
        <v>69</v>
      </c>
      <c r="AD6" t="s">
        <v>71</v>
      </c>
      <c r="AE6" t="s">
        <v>69</v>
      </c>
      <c r="AF6">
        <v>131.17500000000001</v>
      </c>
      <c r="AG6" t="s">
        <v>69</v>
      </c>
      <c r="AH6" t="s">
        <v>69</v>
      </c>
      <c r="AI6">
        <v>111</v>
      </c>
      <c r="AJ6" t="s">
        <v>146</v>
      </c>
      <c r="AK6" t="s">
        <v>69</v>
      </c>
      <c r="AL6" t="s">
        <v>71</v>
      </c>
      <c r="AM6" t="s">
        <v>69</v>
      </c>
      <c r="AN6">
        <v>115.13200000000001</v>
      </c>
      <c r="AO6" t="s">
        <v>69</v>
      </c>
      <c r="AP6" t="s">
        <v>69</v>
      </c>
      <c r="AQ6">
        <v>113</v>
      </c>
      <c r="AR6" t="s">
        <v>147</v>
      </c>
      <c r="AS6" t="s">
        <v>69</v>
      </c>
      <c r="AT6" t="s">
        <v>148</v>
      </c>
      <c r="AU6" t="s">
        <v>69</v>
      </c>
      <c r="AV6">
        <v>146.14599999999999</v>
      </c>
      <c r="AW6" t="s">
        <v>69</v>
      </c>
      <c r="AX6" t="s">
        <v>69</v>
      </c>
      <c r="AY6">
        <v>122</v>
      </c>
      <c r="AZ6" t="s">
        <v>149</v>
      </c>
      <c r="BA6" t="s">
        <v>69</v>
      </c>
      <c r="BB6" t="s">
        <v>150</v>
      </c>
      <c r="BC6" t="s">
        <v>69</v>
      </c>
      <c r="BD6">
        <v>119.119</v>
      </c>
      <c r="BE6" t="s">
        <v>69</v>
      </c>
      <c r="BF6" t="s">
        <v>69</v>
      </c>
      <c r="BG6">
        <v>124</v>
      </c>
      <c r="BH6" t="s">
        <v>151</v>
      </c>
      <c r="BI6" t="s">
        <v>69</v>
      </c>
      <c r="BJ6" t="s">
        <v>152</v>
      </c>
      <c r="BK6" t="s">
        <v>69</v>
      </c>
      <c r="BL6">
        <v>165.19200000000001</v>
      </c>
      <c r="BM6" t="s">
        <v>69</v>
      </c>
      <c r="BN6" t="s">
        <v>69</v>
      </c>
      <c r="BO6">
        <v>145</v>
      </c>
      <c r="BP6" t="s">
        <v>76</v>
      </c>
      <c r="BQ6" t="s">
        <v>69</v>
      </c>
      <c r="BR6" t="s">
        <v>75</v>
      </c>
      <c r="BS6" t="s">
        <v>69</v>
      </c>
      <c r="BT6">
        <v>146.18899999999999</v>
      </c>
      <c r="BU6" t="s">
        <v>69</v>
      </c>
      <c r="BV6" t="s">
        <v>69</v>
      </c>
      <c r="BW6">
        <v>148</v>
      </c>
      <c r="BX6" t="s">
        <v>73</v>
      </c>
      <c r="BY6" t="s">
        <v>69</v>
      </c>
      <c r="BZ6" t="s">
        <v>71</v>
      </c>
      <c r="CA6" t="s">
        <v>69</v>
      </c>
      <c r="CB6">
        <v>89.093999999999994</v>
      </c>
      <c r="CC6" t="s">
        <v>69</v>
      </c>
      <c r="CD6" t="s">
        <v>69</v>
      </c>
      <c r="CE6">
        <v>151</v>
      </c>
      <c r="CF6" t="s">
        <v>145</v>
      </c>
      <c r="CG6" t="s">
        <v>69</v>
      </c>
      <c r="CH6" t="s">
        <v>71</v>
      </c>
      <c r="CI6" t="s">
        <v>69</v>
      </c>
      <c r="CJ6">
        <v>131.17500000000001</v>
      </c>
      <c r="CK6" t="s">
        <v>69</v>
      </c>
      <c r="CL6" t="s">
        <v>69</v>
      </c>
    </row>
    <row r="7" spans="1:90" x14ac:dyDescent="0.25">
      <c r="A7">
        <v>7</v>
      </c>
      <c r="B7" t="str">
        <f>HYPERLINK("http://www.ncbi.nlm.nih.gov/protein/4D5L_C","4D5L_C")</f>
        <v>4D5L_C</v>
      </c>
      <c r="C7">
        <v>53150</v>
      </c>
      <c r="D7" t="str">
        <f>HYPERLINK("http://www.ncbi.nlm.nih.gov/Taxonomy/Browser/wwwtax.cgi?mode=Info&amp;id=9986&amp;lvl=3&amp;lin=f&amp;keep=1&amp;srchmode=1&amp;unlock","9986")</f>
        <v>9986</v>
      </c>
      <c r="E7" t="s">
        <v>66</v>
      </c>
      <c r="F7" t="str">
        <f>HYPERLINK("http://www.ncbi.nlm.nih.gov/Taxonomy/Browser/wwwtax.cgi?mode=Info&amp;id=9986&amp;lvl=3&amp;lin=f&amp;keep=1&amp;srchmode=1&amp;unlock","Oryctolagus cuniculus")</f>
        <v>Oryctolagus cuniculus</v>
      </c>
      <c r="G7" t="s">
        <v>83</v>
      </c>
      <c r="H7" t="str">
        <f>HYPERLINK("http://www.ncbi.nlm.nih.gov/protein/4D5L_C","Cryo-EM structures of ribosomal 80S complexes with termination factors and cricket paralysis virus IRES reveal the IRES in the translocated state")</f>
        <v>Cryo-EM structures of ribosomal 80S complexes with termination factors and cricket paralysis virus IRES reveal the IRES in the translocated state</v>
      </c>
      <c r="I7" t="s">
        <v>118</v>
      </c>
      <c r="J7" t="s">
        <v>69</v>
      </c>
      <c r="K7">
        <v>105</v>
      </c>
      <c r="L7" t="s">
        <v>119</v>
      </c>
      <c r="M7" t="s">
        <v>69</v>
      </c>
      <c r="N7" t="s">
        <v>120</v>
      </c>
      <c r="O7" t="s">
        <v>69</v>
      </c>
      <c r="P7">
        <v>147.131</v>
      </c>
      <c r="Q7" t="s">
        <v>69</v>
      </c>
      <c r="R7" t="s">
        <v>69</v>
      </c>
      <c r="S7">
        <v>107</v>
      </c>
      <c r="T7" t="s">
        <v>72</v>
      </c>
      <c r="U7" t="s">
        <v>69</v>
      </c>
      <c r="V7" t="s">
        <v>71</v>
      </c>
      <c r="W7" t="s">
        <v>69</v>
      </c>
      <c r="X7">
        <v>131.17500000000001</v>
      </c>
      <c r="Y7" t="s">
        <v>69</v>
      </c>
      <c r="Z7" t="s">
        <v>69</v>
      </c>
      <c r="AA7">
        <v>109</v>
      </c>
      <c r="AB7" t="s">
        <v>145</v>
      </c>
      <c r="AC7" t="s">
        <v>69</v>
      </c>
      <c r="AD7" t="s">
        <v>71</v>
      </c>
      <c r="AE7" t="s">
        <v>69</v>
      </c>
      <c r="AF7">
        <v>131.17500000000001</v>
      </c>
      <c r="AG7" t="s">
        <v>69</v>
      </c>
      <c r="AH7" t="s">
        <v>69</v>
      </c>
      <c r="AI7">
        <v>111</v>
      </c>
      <c r="AJ7" t="s">
        <v>146</v>
      </c>
      <c r="AK7" t="s">
        <v>69</v>
      </c>
      <c r="AL7" t="s">
        <v>71</v>
      </c>
      <c r="AM7" t="s">
        <v>69</v>
      </c>
      <c r="AN7">
        <v>115.13200000000001</v>
      </c>
      <c r="AO7" t="s">
        <v>69</v>
      </c>
      <c r="AP7" t="s">
        <v>69</v>
      </c>
      <c r="AQ7">
        <v>113</v>
      </c>
      <c r="AR7" t="s">
        <v>147</v>
      </c>
      <c r="AS7" t="s">
        <v>69</v>
      </c>
      <c r="AT7" t="s">
        <v>148</v>
      </c>
      <c r="AU7" t="s">
        <v>69</v>
      </c>
      <c r="AV7">
        <v>146.14599999999999</v>
      </c>
      <c r="AW7" t="s">
        <v>69</v>
      </c>
      <c r="AX7" t="s">
        <v>69</v>
      </c>
      <c r="AY7">
        <v>122</v>
      </c>
      <c r="AZ7" t="s">
        <v>149</v>
      </c>
      <c r="BA7" t="s">
        <v>69</v>
      </c>
      <c r="BB7" t="s">
        <v>150</v>
      </c>
      <c r="BC7" t="s">
        <v>69</v>
      </c>
      <c r="BD7">
        <v>119.119</v>
      </c>
      <c r="BE7" t="s">
        <v>69</v>
      </c>
      <c r="BF7" t="s">
        <v>69</v>
      </c>
      <c r="BG7">
        <v>124</v>
      </c>
      <c r="BH7" t="s">
        <v>151</v>
      </c>
      <c r="BI7" t="s">
        <v>69</v>
      </c>
      <c r="BJ7" t="s">
        <v>152</v>
      </c>
      <c r="BK7" t="s">
        <v>69</v>
      </c>
      <c r="BL7">
        <v>165.19200000000001</v>
      </c>
      <c r="BM7" t="s">
        <v>69</v>
      </c>
      <c r="BN7" t="s">
        <v>69</v>
      </c>
      <c r="BO7">
        <v>145</v>
      </c>
      <c r="BP7" t="s">
        <v>76</v>
      </c>
      <c r="BQ7" t="s">
        <v>69</v>
      </c>
      <c r="BR7" t="s">
        <v>75</v>
      </c>
      <c r="BS7" t="s">
        <v>69</v>
      </c>
      <c r="BT7">
        <v>146.18899999999999</v>
      </c>
      <c r="BU7" t="s">
        <v>69</v>
      </c>
      <c r="BV7" t="s">
        <v>69</v>
      </c>
      <c r="BW7">
        <v>148</v>
      </c>
      <c r="BX7" t="s">
        <v>73</v>
      </c>
      <c r="BY7" t="s">
        <v>69</v>
      </c>
      <c r="BZ7" t="s">
        <v>71</v>
      </c>
      <c r="CA7" t="s">
        <v>69</v>
      </c>
      <c r="CB7">
        <v>89.093999999999994</v>
      </c>
      <c r="CC7" t="s">
        <v>69</v>
      </c>
      <c r="CD7" t="s">
        <v>69</v>
      </c>
      <c r="CE7">
        <v>151</v>
      </c>
      <c r="CF7" t="s">
        <v>145</v>
      </c>
      <c r="CG7" t="s">
        <v>69</v>
      </c>
      <c r="CH7" t="s">
        <v>71</v>
      </c>
      <c r="CI7" t="s">
        <v>69</v>
      </c>
      <c r="CJ7">
        <v>131.17500000000001</v>
      </c>
      <c r="CK7" t="s">
        <v>69</v>
      </c>
      <c r="CL7" t="s">
        <v>69</v>
      </c>
    </row>
    <row r="8" spans="1:90" x14ac:dyDescent="0.25">
      <c r="A8">
        <v>7</v>
      </c>
      <c r="B8" t="str">
        <f>HYPERLINK("http://www.ncbi.nlm.nih.gov/protein/XP_002755853.1","XP_002755853.1")</f>
        <v>XP_002755853.1</v>
      </c>
      <c r="C8">
        <v>87664</v>
      </c>
      <c r="D8" t="str">
        <f>HYPERLINK("http://www.ncbi.nlm.nih.gov/Taxonomy/Browser/wwwtax.cgi?mode=Info&amp;id=9483&amp;lvl=3&amp;lin=f&amp;keep=1&amp;srchmode=1&amp;unlock","9483")</f>
        <v>9483</v>
      </c>
      <c r="E8" t="s">
        <v>66</v>
      </c>
      <c r="F8" t="str">
        <f>HYPERLINK("http://www.ncbi.nlm.nih.gov/Taxonomy/Browser/wwwtax.cgi?mode=Info&amp;id=9483&amp;lvl=3&amp;lin=f&amp;keep=1&amp;srchmode=1&amp;unlock","Callithrix jacchus")</f>
        <v>Callithrix jacchus</v>
      </c>
      <c r="G8" t="s">
        <v>106</v>
      </c>
      <c r="H8" t="str">
        <f>HYPERLINK("http://www.ncbi.nlm.nih.gov/protein/XP_002755853.1","40S ribosomal protein S2")</f>
        <v>40S ribosomal protein S2</v>
      </c>
      <c r="I8" t="s">
        <v>118</v>
      </c>
      <c r="J8" t="s">
        <v>69</v>
      </c>
      <c r="K8">
        <v>105</v>
      </c>
      <c r="L8" t="s">
        <v>119</v>
      </c>
      <c r="M8" t="s">
        <v>69</v>
      </c>
      <c r="N8" t="s">
        <v>120</v>
      </c>
      <c r="O8" t="s">
        <v>69</v>
      </c>
      <c r="P8">
        <v>147.131</v>
      </c>
      <c r="Q8" t="s">
        <v>69</v>
      </c>
      <c r="R8" t="s">
        <v>69</v>
      </c>
      <c r="S8">
        <v>107</v>
      </c>
      <c r="T8" t="s">
        <v>72</v>
      </c>
      <c r="U8" t="s">
        <v>69</v>
      </c>
      <c r="V8" t="s">
        <v>71</v>
      </c>
      <c r="W8" t="s">
        <v>69</v>
      </c>
      <c r="X8">
        <v>131.17500000000001</v>
      </c>
      <c r="Y8" t="s">
        <v>69</v>
      </c>
      <c r="Z8" t="s">
        <v>69</v>
      </c>
      <c r="AA8">
        <v>109</v>
      </c>
      <c r="AB8" t="s">
        <v>145</v>
      </c>
      <c r="AC8" t="s">
        <v>69</v>
      </c>
      <c r="AD8" t="s">
        <v>71</v>
      </c>
      <c r="AE8" t="s">
        <v>69</v>
      </c>
      <c r="AF8">
        <v>131.17500000000001</v>
      </c>
      <c r="AG8" t="s">
        <v>69</v>
      </c>
      <c r="AH8" t="s">
        <v>69</v>
      </c>
      <c r="AI8">
        <v>111</v>
      </c>
      <c r="AJ8" t="s">
        <v>146</v>
      </c>
      <c r="AK8" t="s">
        <v>69</v>
      </c>
      <c r="AL8" t="s">
        <v>71</v>
      </c>
      <c r="AM8" t="s">
        <v>69</v>
      </c>
      <c r="AN8">
        <v>115.13200000000001</v>
      </c>
      <c r="AO8" t="s">
        <v>69</v>
      </c>
      <c r="AP8" t="s">
        <v>69</v>
      </c>
      <c r="AQ8">
        <v>113</v>
      </c>
      <c r="AR8" t="s">
        <v>147</v>
      </c>
      <c r="AS8" t="s">
        <v>69</v>
      </c>
      <c r="AT8" t="s">
        <v>148</v>
      </c>
      <c r="AU8" t="s">
        <v>69</v>
      </c>
      <c r="AV8">
        <v>146.14599999999999</v>
      </c>
      <c r="AW8" t="s">
        <v>69</v>
      </c>
      <c r="AX8" t="s">
        <v>69</v>
      </c>
      <c r="AY8">
        <v>122</v>
      </c>
      <c r="AZ8" t="s">
        <v>149</v>
      </c>
      <c r="BA8" t="s">
        <v>69</v>
      </c>
      <c r="BB8" t="s">
        <v>150</v>
      </c>
      <c r="BC8" t="s">
        <v>69</v>
      </c>
      <c r="BD8">
        <v>119.119</v>
      </c>
      <c r="BE8" t="s">
        <v>69</v>
      </c>
      <c r="BF8" t="s">
        <v>69</v>
      </c>
      <c r="BG8">
        <v>124</v>
      </c>
      <c r="BH8" t="s">
        <v>151</v>
      </c>
      <c r="BI8" t="s">
        <v>69</v>
      </c>
      <c r="BJ8" t="s">
        <v>152</v>
      </c>
      <c r="BK8" t="s">
        <v>69</v>
      </c>
      <c r="BL8">
        <v>165.19200000000001</v>
      </c>
      <c r="BM8" t="s">
        <v>69</v>
      </c>
      <c r="BN8" t="s">
        <v>69</v>
      </c>
      <c r="BO8">
        <v>145</v>
      </c>
      <c r="BP8" t="s">
        <v>76</v>
      </c>
      <c r="BQ8" t="s">
        <v>69</v>
      </c>
      <c r="BR8" t="s">
        <v>75</v>
      </c>
      <c r="BS8" t="s">
        <v>69</v>
      </c>
      <c r="BT8">
        <v>146.18899999999999</v>
      </c>
      <c r="BU8" t="s">
        <v>69</v>
      </c>
      <c r="BV8" t="s">
        <v>69</v>
      </c>
      <c r="BW8">
        <v>148</v>
      </c>
      <c r="BX8" t="s">
        <v>73</v>
      </c>
      <c r="BY8" t="s">
        <v>69</v>
      </c>
      <c r="BZ8" t="s">
        <v>71</v>
      </c>
      <c r="CA8" t="s">
        <v>69</v>
      </c>
      <c r="CB8">
        <v>89.093999999999994</v>
      </c>
      <c r="CC8" t="s">
        <v>69</v>
      </c>
      <c r="CD8" t="s">
        <v>69</v>
      </c>
      <c r="CE8">
        <v>151</v>
      </c>
      <c r="CF8" t="s">
        <v>145</v>
      </c>
      <c r="CG8" t="s">
        <v>69</v>
      </c>
      <c r="CH8" t="s">
        <v>71</v>
      </c>
      <c r="CI8" t="s">
        <v>69</v>
      </c>
      <c r="CJ8">
        <v>131.17500000000001</v>
      </c>
      <c r="CK8" t="s">
        <v>69</v>
      </c>
      <c r="CL8" t="s">
        <v>69</v>
      </c>
    </row>
    <row r="9" spans="1:90" x14ac:dyDescent="0.25">
      <c r="A9">
        <v>7</v>
      </c>
      <c r="B9" t="str">
        <f>HYPERLINK("http://www.ncbi.nlm.nih.gov/protein/XP_042827256.1","XP_042827256.1")</f>
        <v>XP_042827256.1</v>
      </c>
      <c r="C9">
        <v>56089</v>
      </c>
      <c r="D9" t="str">
        <f>HYPERLINK("http://www.ncbi.nlm.nih.gov/Taxonomy/Browser/wwwtax.cgi?mode=Info&amp;id=9694&amp;lvl=3&amp;lin=f&amp;keep=1&amp;srchmode=1&amp;unlock","9694")</f>
        <v>9694</v>
      </c>
      <c r="E9" t="s">
        <v>66</v>
      </c>
      <c r="F9" t="str">
        <f>HYPERLINK("http://www.ncbi.nlm.nih.gov/Taxonomy/Browser/wwwtax.cgi?mode=Info&amp;id=9694&amp;lvl=3&amp;lin=f&amp;keep=1&amp;srchmode=1&amp;unlock","Panthera tigris")</f>
        <v>Panthera tigris</v>
      </c>
      <c r="G9" t="s">
        <v>89</v>
      </c>
      <c r="H9" t="str">
        <f>HYPERLINK("http://www.ncbi.nlm.nih.gov/protein/XP_042827256.1","40S ribosomal protein S2")</f>
        <v>40S ribosomal protein S2</v>
      </c>
      <c r="I9" t="s">
        <v>118</v>
      </c>
      <c r="J9" t="s">
        <v>69</v>
      </c>
      <c r="K9">
        <v>105</v>
      </c>
      <c r="L9" t="s">
        <v>119</v>
      </c>
      <c r="M9" t="s">
        <v>69</v>
      </c>
      <c r="N9" t="s">
        <v>120</v>
      </c>
      <c r="O9" t="s">
        <v>69</v>
      </c>
      <c r="P9">
        <v>147.131</v>
      </c>
      <c r="Q9" t="s">
        <v>69</v>
      </c>
      <c r="R9" t="s">
        <v>69</v>
      </c>
      <c r="S9">
        <v>107</v>
      </c>
      <c r="T9" t="s">
        <v>72</v>
      </c>
      <c r="U9" t="s">
        <v>69</v>
      </c>
      <c r="V9" t="s">
        <v>71</v>
      </c>
      <c r="W9" t="s">
        <v>69</v>
      </c>
      <c r="X9">
        <v>131.17500000000001</v>
      </c>
      <c r="Y9" t="s">
        <v>69</v>
      </c>
      <c r="Z9" t="s">
        <v>69</v>
      </c>
      <c r="AA9">
        <v>109</v>
      </c>
      <c r="AB9" t="s">
        <v>145</v>
      </c>
      <c r="AC9" t="s">
        <v>69</v>
      </c>
      <c r="AD9" t="s">
        <v>71</v>
      </c>
      <c r="AE9" t="s">
        <v>69</v>
      </c>
      <c r="AF9">
        <v>131.17500000000001</v>
      </c>
      <c r="AG9" t="s">
        <v>69</v>
      </c>
      <c r="AH9" t="s">
        <v>69</v>
      </c>
      <c r="AI9">
        <v>111</v>
      </c>
      <c r="AJ9" t="s">
        <v>146</v>
      </c>
      <c r="AK9" t="s">
        <v>69</v>
      </c>
      <c r="AL9" t="s">
        <v>71</v>
      </c>
      <c r="AM9" t="s">
        <v>69</v>
      </c>
      <c r="AN9">
        <v>115.13200000000001</v>
      </c>
      <c r="AO9" t="s">
        <v>69</v>
      </c>
      <c r="AP9" t="s">
        <v>69</v>
      </c>
      <c r="AQ9">
        <v>113</v>
      </c>
      <c r="AR9" t="s">
        <v>147</v>
      </c>
      <c r="AS9" t="s">
        <v>69</v>
      </c>
      <c r="AT9" t="s">
        <v>148</v>
      </c>
      <c r="AU9" t="s">
        <v>69</v>
      </c>
      <c r="AV9">
        <v>146.14599999999999</v>
      </c>
      <c r="AW9" t="s">
        <v>69</v>
      </c>
      <c r="AX9" t="s">
        <v>69</v>
      </c>
      <c r="AY9">
        <v>122</v>
      </c>
      <c r="AZ9" t="s">
        <v>149</v>
      </c>
      <c r="BA9" t="s">
        <v>69</v>
      </c>
      <c r="BB9" t="s">
        <v>150</v>
      </c>
      <c r="BC9" t="s">
        <v>69</v>
      </c>
      <c r="BD9">
        <v>119.119</v>
      </c>
      <c r="BE9" t="s">
        <v>69</v>
      </c>
      <c r="BF9" t="s">
        <v>69</v>
      </c>
      <c r="BG9">
        <v>124</v>
      </c>
      <c r="BH9" t="s">
        <v>151</v>
      </c>
      <c r="BI9" t="s">
        <v>69</v>
      </c>
      <c r="BJ9" t="s">
        <v>152</v>
      </c>
      <c r="BK9" t="s">
        <v>69</v>
      </c>
      <c r="BL9">
        <v>165.19200000000001</v>
      </c>
      <c r="BM9" t="s">
        <v>69</v>
      </c>
      <c r="BN9" t="s">
        <v>69</v>
      </c>
      <c r="BO9">
        <v>145</v>
      </c>
      <c r="BP9" t="s">
        <v>76</v>
      </c>
      <c r="BQ9" t="s">
        <v>69</v>
      </c>
      <c r="BR9" t="s">
        <v>75</v>
      </c>
      <c r="BS9" t="s">
        <v>69</v>
      </c>
      <c r="BT9">
        <v>146.18899999999999</v>
      </c>
      <c r="BU9" t="s">
        <v>69</v>
      </c>
      <c r="BV9" t="s">
        <v>69</v>
      </c>
      <c r="BW9">
        <v>148</v>
      </c>
      <c r="BX9" t="s">
        <v>73</v>
      </c>
      <c r="BY9" t="s">
        <v>69</v>
      </c>
      <c r="BZ9" t="s">
        <v>71</v>
      </c>
      <c r="CA9" t="s">
        <v>69</v>
      </c>
      <c r="CB9">
        <v>89.093999999999994</v>
      </c>
      <c r="CC9" t="s">
        <v>69</v>
      </c>
      <c r="CD9" t="s">
        <v>69</v>
      </c>
      <c r="CE9">
        <v>151</v>
      </c>
      <c r="CF9" t="s">
        <v>145</v>
      </c>
      <c r="CG9" t="s">
        <v>69</v>
      </c>
      <c r="CH9" t="s">
        <v>71</v>
      </c>
      <c r="CI9" t="s">
        <v>69</v>
      </c>
      <c r="CJ9">
        <v>131.17500000000001</v>
      </c>
      <c r="CK9" t="s">
        <v>69</v>
      </c>
      <c r="CL9" t="s">
        <v>69</v>
      </c>
    </row>
    <row r="10" spans="1:90" x14ac:dyDescent="0.25">
      <c r="A10">
        <v>7</v>
      </c>
      <c r="B10" t="str">
        <f>HYPERLINK("http://www.ncbi.nlm.nih.gov/protein/XP_042777489.1","XP_042777489.1")</f>
        <v>XP_042777489.1</v>
      </c>
      <c r="C10">
        <v>53677</v>
      </c>
      <c r="D10" t="str">
        <f>HYPERLINK("http://www.ncbi.nlm.nih.gov/Taxonomy/Browser/wwwtax.cgi?mode=Info&amp;id=9689&amp;lvl=3&amp;lin=f&amp;keep=1&amp;srchmode=1&amp;unlock","9689")</f>
        <v>9689</v>
      </c>
      <c r="E10" t="s">
        <v>66</v>
      </c>
      <c r="F10" t="str">
        <f>HYPERLINK("http://www.ncbi.nlm.nih.gov/Taxonomy/Browser/wwwtax.cgi?mode=Info&amp;id=9689&amp;lvl=3&amp;lin=f&amp;keep=1&amp;srchmode=1&amp;unlock","Panthera leo")</f>
        <v>Panthera leo</v>
      </c>
      <c r="G10" t="s">
        <v>90</v>
      </c>
      <c r="H10" t="str">
        <f>HYPERLINK("http://www.ncbi.nlm.nih.gov/protein/XP_042777489.1","40S ribosomal protein S2")</f>
        <v>40S ribosomal protein S2</v>
      </c>
      <c r="I10" t="s">
        <v>118</v>
      </c>
      <c r="J10" t="s">
        <v>69</v>
      </c>
      <c r="K10">
        <v>105</v>
      </c>
      <c r="L10" t="s">
        <v>119</v>
      </c>
      <c r="M10" t="s">
        <v>69</v>
      </c>
      <c r="N10" t="s">
        <v>120</v>
      </c>
      <c r="O10" t="s">
        <v>69</v>
      </c>
      <c r="P10">
        <v>147.131</v>
      </c>
      <c r="Q10" t="s">
        <v>69</v>
      </c>
      <c r="R10" t="s">
        <v>69</v>
      </c>
      <c r="S10">
        <v>107</v>
      </c>
      <c r="T10" t="s">
        <v>72</v>
      </c>
      <c r="U10" t="s">
        <v>69</v>
      </c>
      <c r="V10" t="s">
        <v>71</v>
      </c>
      <c r="W10" t="s">
        <v>69</v>
      </c>
      <c r="X10">
        <v>131.17500000000001</v>
      </c>
      <c r="Y10" t="s">
        <v>69</v>
      </c>
      <c r="Z10" t="s">
        <v>69</v>
      </c>
      <c r="AA10">
        <v>109</v>
      </c>
      <c r="AB10" t="s">
        <v>145</v>
      </c>
      <c r="AC10" t="s">
        <v>69</v>
      </c>
      <c r="AD10" t="s">
        <v>71</v>
      </c>
      <c r="AE10" t="s">
        <v>69</v>
      </c>
      <c r="AF10">
        <v>131.17500000000001</v>
      </c>
      <c r="AG10" t="s">
        <v>69</v>
      </c>
      <c r="AH10" t="s">
        <v>69</v>
      </c>
      <c r="AI10">
        <v>111</v>
      </c>
      <c r="AJ10" t="s">
        <v>146</v>
      </c>
      <c r="AK10" t="s">
        <v>69</v>
      </c>
      <c r="AL10" t="s">
        <v>71</v>
      </c>
      <c r="AM10" t="s">
        <v>69</v>
      </c>
      <c r="AN10">
        <v>115.13200000000001</v>
      </c>
      <c r="AO10" t="s">
        <v>69</v>
      </c>
      <c r="AP10" t="s">
        <v>69</v>
      </c>
      <c r="AQ10">
        <v>113</v>
      </c>
      <c r="AR10" t="s">
        <v>147</v>
      </c>
      <c r="AS10" t="s">
        <v>69</v>
      </c>
      <c r="AT10" t="s">
        <v>148</v>
      </c>
      <c r="AU10" t="s">
        <v>69</v>
      </c>
      <c r="AV10">
        <v>146.14599999999999</v>
      </c>
      <c r="AW10" t="s">
        <v>69</v>
      </c>
      <c r="AX10" t="s">
        <v>69</v>
      </c>
      <c r="AY10">
        <v>122</v>
      </c>
      <c r="AZ10" t="s">
        <v>149</v>
      </c>
      <c r="BA10" t="s">
        <v>69</v>
      </c>
      <c r="BB10" t="s">
        <v>150</v>
      </c>
      <c r="BC10" t="s">
        <v>69</v>
      </c>
      <c r="BD10">
        <v>119.119</v>
      </c>
      <c r="BE10" t="s">
        <v>69</v>
      </c>
      <c r="BF10" t="s">
        <v>69</v>
      </c>
      <c r="BG10">
        <v>124</v>
      </c>
      <c r="BH10" t="s">
        <v>151</v>
      </c>
      <c r="BI10" t="s">
        <v>69</v>
      </c>
      <c r="BJ10" t="s">
        <v>152</v>
      </c>
      <c r="BK10" t="s">
        <v>69</v>
      </c>
      <c r="BL10">
        <v>165.19200000000001</v>
      </c>
      <c r="BM10" t="s">
        <v>69</v>
      </c>
      <c r="BN10" t="s">
        <v>69</v>
      </c>
      <c r="BO10">
        <v>145</v>
      </c>
      <c r="BP10" t="s">
        <v>76</v>
      </c>
      <c r="BQ10" t="s">
        <v>69</v>
      </c>
      <c r="BR10" t="s">
        <v>75</v>
      </c>
      <c r="BS10" t="s">
        <v>69</v>
      </c>
      <c r="BT10">
        <v>146.18899999999999</v>
      </c>
      <c r="BU10" t="s">
        <v>69</v>
      </c>
      <c r="BV10" t="s">
        <v>69</v>
      </c>
      <c r="BW10">
        <v>148</v>
      </c>
      <c r="BX10" t="s">
        <v>73</v>
      </c>
      <c r="BY10" t="s">
        <v>69</v>
      </c>
      <c r="BZ10" t="s">
        <v>71</v>
      </c>
      <c r="CA10" t="s">
        <v>69</v>
      </c>
      <c r="CB10">
        <v>89.093999999999994</v>
      </c>
      <c r="CC10" t="s">
        <v>69</v>
      </c>
      <c r="CD10" t="s">
        <v>69</v>
      </c>
      <c r="CE10">
        <v>151</v>
      </c>
      <c r="CF10" t="s">
        <v>145</v>
      </c>
      <c r="CG10" t="s">
        <v>69</v>
      </c>
      <c r="CH10" t="s">
        <v>71</v>
      </c>
      <c r="CI10" t="s">
        <v>69</v>
      </c>
      <c r="CJ10">
        <v>131.17500000000001</v>
      </c>
      <c r="CK10" t="s">
        <v>69</v>
      </c>
      <c r="CL10" t="s">
        <v>69</v>
      </c>
    </row>
    <row r="11" spans="1:90" x14ac:dyDescent="0.25">
      <c r="A11">
        <v>7</v>
      </c>
      <c r="B11" t="str">
        <f>HYPERLINK("http://www.ncbi.nlm.nih.gov/protein/XP_023102930.1","XP_023102930.1")</f>
        <v>XP_023102930.1</v>
      </c>
      <c r="C11">
        <v>74287</v>
      </c>
      <c r="D11" t="str">
        <f>HYPERLINK("http://www.ncbi.nlm.nih.gov/Taxonomy/Browser/wwwtax.cgi?mode=Info&amp;id=9685&amp;lvl=3&amp;lin=f&amp;keep=1&amp;srchmode=1&amp;unlock","9685")</f>
        <v>9685</v>
      </c>
      <c r="E11" t="s">
        <v>66</v>
      </c>
      <c r="F11" t="str">
        <f>HYPERLINK("http://www.ncbi.nlm.nih.gov/Taxonomy/Browser/wwwtax.cgi?mode=Info&amp;id=9685&amp;lvl=3&amp;lin=f&amp;keep=1&amp;srchmode=1&amp;unlock","Felis catus")</f>
        <v>Felis catus</v>
      </c>
      <c r="G11" t="s">
        <v>86</v>
      </c>
      <c r="H11" t="str">
        <f>HYPERLINK("http://www.ncbi.nlm.nih.gov/protein/XP_023102930.1","40S ribosomal protein S2")</f>
        <v>40S ribosomal protein S2</v>
      </c>
      <c r="I11" t="s">
        <v>118</v>
      </c>
      <c r="J11" t="s">
        <v>69</v>
      </c>
      <c r="K11">
        <v>105</v>
      </c>
      <c r="L11" t="s">
        <v>119</v>
      </c>
      <c r="M11" t="s">
        <v>69</v>
      </c>
      <c r="N11" t="s">
        <v>120</v>
      </c>
      <c r="O11" t="s">
        <v>69</v>
      </c>
      <c r="P11">
        <v>147.131</v>
      </c>
      <c r="Q11" t="s">
        <v>69</v>
      </c>
      <c r="R11" t="s">
        <v>69</v>
      </c>
      <c r="S11">
        <v>107</v>
      </c>
      <c r="T11" t="s">
        <v>72</v>
      </c>
      <c r="U11" t="s">
        <v>69</v>
      </c>
      <c r="V11" t="s">
        <v>71</v>
      </c>
      <c r="W11" t="s">
        <v>69</v>
      </c>
      <c r="X11">
        <v>131.17500000000001</v>
      </c>
      <c r="Y11" t="s">
        <v>69</v>
      </c>
      <c r="Z11" t="s">
        <v>69</v>
      </c>
      <c r="AA11">
        <v>109</v>
      </c>
      <c r="AB11" t="s">
        <v>145</v>
      </c>
      <c r="AC11" t="s">
        <v>69</v>
      </c>
      <c r="AD11" t="s">
        <v>71</v>
      </c>
      <c r="AE11" t="s">
        <v>69</v>
      </c>
      <c r="AF11">
        <v>131.17500000000001</v>
      </c>
      <c r="AG11" t="s">
        <v>69</v>
      </c>
      <c r="AH11" t="s">
        <v>69</v>
      </c>
      <c r="AI11">
        <v>111</v>
      </c>
      <c r="AJ11" t="s">
        <v>146</v>
      </c>
      <c r="AK11" t="s">
        <v>69</v>
      </c>
      <c r="AL11" t="s">
        <v>71</v>
      </c>
      <c r="AM11" t="s">
        <v>69</v>
      </c>
      <c r="AN11">
        <v>115.13200000000001</v>
      </c>
      <c r="AO11" t="s">
        <v>69</v>
      </c>
      <c r="AP11" t="s">
        <v>69</v>
      </c>
      <c r="AQ11">
        <v>113</v>
      </c>
      <c r="AR11" t="s">
        <v>147</v>
      </c>
      <c r="AS11" t="s">
        <v>69</v>
      </c>
      <c r="AT11" t="s">
        <v>148</v>
      </c>
      <c r="AU11" t="s">
        <v>69</v>
      </c>
      <c r="AV11">
        <v>146.14599999999999</v>
      </c>
      <c r="AW11" t="s">
        <v>69</v>
      </c>
      <c r="AX11" t="s">
        <v>69</v>
      </c>
      <c r="AY11">
        <v>122</v>
      </c>
      <c r="AZ11" t="s">
        <v>149</v>
      </c>
      <c r="BA11" t="s">
        <v>69</v>
      </c>
      <c r="BB11" t="s">
        <v>150</v>
      </c>
      <c r="BC11" t="s">
        <v>69</v>
      </c>
      <c r="BD11">
        <v>119.119</v>
      </c>
      <c r="BE11" t="s">
        <v>69</v>
      </c>
      <c r="BF11" t="s">
        <v>69</v>
      </c>
      <c r="BG11">
        <v>124</v>
      </c>
      <c r="BH11" t="s">
        <v>151</v>
      </c>
      <c r="BI11" t="s">
        <v>69</v>
      </c>
      <c r="BJ11" t="s">
        <v>152</v>
      </c>
      <c r="BK11" t="s">
        <v>69</v>
      </c>
      <c r="BL11">
        <v>165.19200000000001</v>
      </c>
      <c r="BM11" t="s">
        <v>69</v>
      </c>
      <c r="BN11" t="s">
        <v>69</v>
      </c>
      <c r="BO11">
        <v>145</v>
      </c>
      <c r="BP11" t="s">
        <v>76</v>
      </c>
      <c r="BQ11" t="s">
        <v>69</v>
      </c>
      <c r="BR11" t="s">
        <v>75</v>
      </c>
      <c r="BS11" t="s">
        <v>69</v>
      </c>
      <c r="BT11">
        <v>146.18899999999999</v>
      </c>
      <c r="BU11" t="s">
        <v>69</v>
      </c>
      <c r="BV11" t="s">
        <v>69</v>
      </c>
      <c r="BW11">
        <v>148</v>
      </c>
      <c r="BX11" t="s">
        <v>73</v>
      </c>
      <c r="BY11" t="s">
        <v>69</v>
      </c>
      <c r="BZ11" t="s">
        <v>71</v>
      </c>
      <c r="CA11" t="s">
        <v>69</v>
      </c>
      <c r="CB11">
        <v>89.093999999999994</v>
      </c>
      <c r="CC11" t="s">
        <v>69</v>
      </c>
      <c r="CD11" t="s">
        <v>69</v>
      </c>
      <c r="CE11">
        <v>151</v>
      </c>
      <c r="CF11" t="s">
        <v>145</v>
      </c>
      <c r="CG11" t="s">
        <v>69</v>
      </c>
      <c r="CH11" t="s">
        <v>71</v>
      </c>
      <c r="CI11" t="s">
        <v>69</v>
      </c>
      <c r="CJ11">
        <v>131.17500000000001</v>
      </c>
      <c r="CK11" t="s">
        <v>69</v>
      </c>
      <c r="CL11" t="s">
        <v>69</v>
      </c>
    </row>
    <row r="12" spans="1:90" x14ac:dyDescent="0.25">
      <c r="A12">
        <v>7</v>
      </c>
      <c r="B12" t="str">
        <f>HYPERLINK("http://www.ncbi.nlm.nih.gov/protein/XP_046953965.1","XP_046953965.1")</f>
        <v>XP_046953965.1</v>
      </c>
      <c r="C12">
        <v>38764</v>
      </c>
      <c r="D12" t="str">
        <f>HYPERLINK("http://www.ncbi.nlm.nih.gov/Taxonomy/Browser/wwwtax.cgi?mode=Info&amp;id=61384&amp;lvl=3&amp;lin=f&amp;keep=1&amp;srchmode=1&amp;unlock","61384")</f>
        <v>61384</v>
      </c>
      <c r="E12" t="s">
        <v>66</v>
      </c>
      <c r="F12" t="str">
        <f>HYPERLINK("http://www.ncbi.nlm.nih.gov/Taxonomy/Browser/wwwtax.cgi?mode=Info&amp;id=61384&amp;lvl=3&amp;lin=f&amp;keep=1&amp;srchmode=1&amp;unlock","Lynx rufus")</f>
        <v>Lynx rufus</v>
      </c>
      <c r="G12" t="s">
        <v>93</v>
      </c>
      <c r="H12" t="str">
        <f>HYPERLINK("http://www.ncbi.nlm.nih.gov/protein/XP_046953965.1","40S ribosomal protein S2")</f>
        <v>40S ribosomal protein S2</v>
      </c>
      <c r="I12" t="s">
        <v>118</v>
      </c>
      <c r="J12" t="s">
        <v>69</v>
      </c>
      <c r="K12">
        <v>105</v>
      </c>
      <c r="L12" t="s">
        <v>119</v>
      </c>
      <c r="M12" t="s">
        <v>69</v>
      </c>
      <c r="N12" t="s">
        <v>120</v>
      </c>
      <c r="O12" t="s">
        <v>69</v>
      </c>
      <c r="P12">
        <v>147.131</v>
      </c>
      <c r="Q12" t="s">
        <v>69</v>
      </c>
      <c r="R12" t="s">
        <v>69</v>
      </c>
      <c r="S12">
        <v>107</v>
      </c>
      <c r="T12" t="s">
        <v>72</v>
      </c>
      <c r="U12" t="s">
        <v>69</v>
      </c>
      <c r="V12" t="s">
        <v>71</v>
      </c>
      <c r="W12" t="s">
        <v>69</v>
      </c>
      <c r="X12">
        <v>131.17500000000001</v>
      </c>
      <c r="Y12" t="s">
        <v>69</v>
      </c>
      <c r="Z12" t="s">
        <v>69</v>
      </c>
      <c r="AA12">
        <v>109</v>
      </c>
      <c r="AB12" t="s">
        <v>145</v>
      </c>
      <c r="AC12" t="s">
        <v>69</v>
      </c>
      <c r="AD12" t="s">
        <v>71</v>
      </c>
      <c r="AE12" t="s">
        <v>69</v>
      </c>
      <c r="AF12">
        <v>131.17500000000001</v>
      </c>
      <c r="AG12" t="s">
        <v>69</v>
      </c>
      <c r="AH12" t="s">
        <v>69</v>
      </c>
      <c r="AI12">
        <v>111</v>
      </c>
      <c r="AJ12" t="s">
        <v>146</v>
      </c>
      <c r="AK12" t="s">
        <v>69</v>
      </c>
      <c r="AL12" t="s">
        <v>71</v>
      </c>
      <c r="AM12" t="s">
        <v>69</v>
      </c>
      <c r="AN12">
        <v>115.13200000000001</v>
      </c>
      <c r="AO12" t="s">
        <v>69</v>
      </c>
      <c r="AP12" t="s">
        <v>69</v>
      </c>
      <c r="AQ12">
        <v>113</v>
      </c>
      <c r="AR12" t="s">
        <v>147</v>
      </c>
      <c r="AS12" t="s">
        <v>69</v>
      </c>
      <c r="AT12" t="s">
        <v>148</v>
      </c>
      <c r="AU12" t="s">
        <v>69</v>
      </c>
      <c r="AV12">
        <v>146.14599999999999</v>
      </c>
      <c r="AW12" t="s">
        <v>69</v>
      </c>
      <c r="AX12" t="s">
        <v>69</v>
      </c>
      <c r="AY12">
        <v>122</v>
      </c>
      <c r="AZ12" t="s">
        <v>149</v>
      </c>
      <c r="BA12" t="s">
        <v>69</v>
      </c>
      <c r="BB12" t="s">
        <v>150</v>
      </c>
      <c r="BC12" t="s">
        <v>69</v>
      </c>
      <c r="BD12">
        <v>119.119</v>
      </c>
      <c r="BE12" t="s">
        <v>69</v>
      </c>
      <c r="BF12" t="s">
        <v>69</v>
      </c>
      <c r="BG12">
        <v>124</v>
      </c>
      <c r="BH12" t="s">
        <v>151</v>
      </c>
      <c r="BI12" t="s">
        <v>69</v>
      </c>
      <c r="BJ12" t="s">
        <v>152</v>
      </c>
      <c r="BK12" t="s">
        <v>69</v>
      </c>
      <c r="BL12">
        <v>165.19200000000001</v>
      </c>
      <c r="BM12" t="s">
        <v>69</v>
      </c>
      <c r="BN12" t="s">
        <v>69</v>
      </c>
      <c r="BO12">
        <v>145</v>
      </c>
      <c r="BP12" t="s">
        <v>76</v>
      </c>
      <c r="BQ12" t="s">
        <v>69</v>
      </c>
      <c r="BR12" t="s">
        <v>75</v>
      </c>
      <c r="BS12" t="s">
        <v>69</v>
      </c>
      <c r="BT12">
        <v>146.18899999999999</v>
      </c>
      <c r="BU12" t="s">
        <v>69</v>
      </c>
      <c r="BV12" t="s">
        <v>69</v>
      </c>
      <c r="BW12">
        <v>148</v>
      </c>
      <c r="BX12" t="s">
        <v>73</v>
      </c>
      <c r="BY12" t="s">
        <v>69</v>
      </c>
      <c r="BZ12" t="s">
        <v>71</v>
      </c>
      <c r="CA12" t="s">
        <v>69</v>
      </c>
      <c r="CB12">
        <v>89.093999999999994</v>
      </c>
      <c r="CC12" t="s">
        <v>69</v>
      </c>
      <c r="CD12" t="s">
        <v>69</v>
      </c>
      <c r="CE12">
        <v>151</v>
      </c>
      <c r="CF12" t="s">
        <v>145</v>
      </c>
      <c r="CG12" t="s">
        <v>69</v>
      </c>
      <c r="CH12" t="s">
        <v>71</v>
      </c>
      <c r="CI12" t="s">
        <v>69</v>
      </c>
      <c r="CJ12">
        <v>131.17500000000001</v>
      </c>
      <c r="CK12" t="s">
        <v>69</v>
      </c>
      <c r="CL12" t="s">
        <v>69</v>
      </c>
    </row>
    <row r="13" spans="1:90" x14ac:dyDescent="0.25">
      <c r="A13">
        <v>7</v>
      </c>
      <c r="B13" t="str">
        <f>HYPERLINK("http://www.ncbi.nlm.nih.gov/protein/XP_032447444.1","XP_032447444.1")</f>
        <v>XP_032447444.1</v>
      </c>
      <c r="C13">
        <v>42175</v>
      </c>
      <c r="D13" t="str">
        <f>HYPERLINK("http://www.ncbi.nlm.nih.gov/Taxonomy/Browser/wwwtax.cgi?mode=Info&amp;id=61383&amp;lvl=3&amp;lin=f&amp;keep=1&amp;srchmode=1&amp;unlock","61383")</f>
        <v>61383</v>
      </c>
      <c r="E13" t="s">
        <v>66</v>
      </c>
      <c r="F13" t="str">
        <f>HYPERLINK("http://www.ncbi.nlm.nih.gov/Taxonomy/Browser/wwwtax.cgi?mode=Info&amp;id=61383&amp;lvl=3&amp;lin=f&amp;keep=1&amp;srchmode=1&amp;unlock","Lynx canadensis")</f>
        <v>Lynx canadensis</v>
      </c>
      <c r="G13" t="s">
        <v>105</v>
      </c>
      <c r="H13" t="str">
        <f>HYPERLINK("http://www.ncbi.nlm.nih.gov/protein/XP_032447444.1","40S ribosomal protein S2")</f>
        <v>40S ribosomal protein S2</v>
      </c>
      <c r="I13" t="s">
        <v>118</v>
      </c>
      <c r="J13" t="s">
        <v>69</v>
      </c>
      <c r="K13">
        <v>105</v>
      </c>
      <c r="L13" t="s">
        <v>119</v>
      </c>
      <c r="M13" t="s">
        <v>69</v>
      </c>
      <c r="N13" t="s">
        <v>120</v>
      </c>
      <c r="O13" t="s">
        <v>69</v>
      </c>
      <c r="P13">
        <v>147.131</v>
      </c>
      <c r="Q13" t="s">
        <v>69</v>
      </c>
      <c r="R13" t="s">
        <v>69</v>
      </c>
      <c r="S13">
        <v>107</v>
      </c>
      <c r="T13" t="s">
        <v>72</v>
      </c>
      <c r="U13" t="s">
        <v>69</v>
      </c>
      <c r="V13" t="s">
        <v>71</v>
      </c>
      <c r="W13" t="s">
        <v>69</v>
      </c>
      <c r="X13">
        <v>131.17500000000001</v>
      </c>
      <c r="Y13" t="s">
        <v>69</v>
      </c>
      <c r="Z13" t="s">
        <v>69</v>
      </c>
      <c r="AA13">
        <v>109</v>
      </c>
      <c r="AB13" t="s">
        <v>145</v>
      </c>
      <c r="AC13" t="s">
        <v>69</v>
      </c>
      <c r="AD13" t="s">
        <v>71</v>
      </c>
      <c r="AE13" t="s">
        <v>69</v>
      </c>
      <c r="AF13">
        <v>131.17500000000001</v>
      </c>
      <c r="AG13" t="s">
        <v>69</v>
      </c>
      <c r="AH13" t="s">
        <v>69</v>
      </c>
      <c r="AI13">
        <v>111</v>
      </c>
      <c r="AJ13" t="s">
        <v>146</v>
      </c>
      <c r="AK13" t="s">
        <v>69</v>
      </c>
      <c r="AL13" t="s">
        <v>71</v>
      </c>
      <c r="AM13" t="s">
        <v>69</v>
      </c>
      <c r="AN13">
        <v>115.13200000000001</v>
      </c>
      <c r="AO13" t="s">
        <v>69</v>
      </c>
      <c r="AP13" t="s">
        <v>69</v>
      </c>
      <c r="AQ13">
        <v>113</v>
      </c>
      <c r="AR13" t="s">
        <v>147</v>
      </c>
      <c r="AS13" t="s">
        <v>69</v>
      </c>
      <c r="AT13" t="s">
        <v>148</v>
      </c>
      <c r="AU13" t="s">
        <v>69</v>
      </c>
      <c r="AV13">
        <v>146.14599999999999</v>
      </c>
      <c r="AW13" t="s">
        <v>69</v>
      </c>
      <c r="AX13" t="s">
        <v>69</v>
      </c>
      <c r="AY13">
        <v>122</v>
      </c>
      <c r="AZ13" t="s">
        <v>149</v>
      </c>
      <c r="BA13" t="s">
        <v>69</v>
      </c>
      <c r="BB13" t="s">
        <v>150</v>
      </c>
      <c r="BC13" t="s">
        <v>69</v>
      </c>
      <c r="BD13">
        <v>119.119</v>
      </c>
      <c r="BE13" t="s">
        <v>69</v>
      </c>
      <c r="BF13" t="s">
        <v>69</v>
      </c>
      <c r="BG13">
        <v>124</v>
      </c>
      <c r="BH13" t="s">
        <v>151</v>
      </c>
      <c r="BI13" t="s">
        <v>69</v>
      </c>
      <c r="BJ13" t="s">
        <v>152</v>
      </c>
      <c r="BK13" t="s">
        <v>69</v>
      </c>
      <c r="BL13">
        <v>165.19200000000001</v>
      </c>
      <c r="BM13" t="s">
        <v>69</v>
      </c>
      <c r="BN13" t="s">
        <v>69</v>
      </c>
      <c r="BO13">
        <v>145</v>
      </c>
      <c r="BP13" t="s">
        <v>76</v>
      </c>
      <c r="BQ13" t="s">
        <v>69</v>
      </c>
      <c r="BR13" t="s">
        <v>75</v>
      </c>
      <c r="BS13" t="s">
        <v>69</v>
      </c>
      <c r="BT13">
        <v>146.18899999999999</v>
      </c>
      <c r="BU13" t="s">
        <v>69</v>
      </c>
      <c r="BV13" t="s">
        <v>69</v>
      </c>
      <c r="BW13">
        <v>148</v>
      </c>
      <c r="BX13" t="s">
        <v>73</v>
      </c>
      <c r="BY13" t="s">
        <v>69</v>
      </c>
      <c r="BZ13" t="s">
        <v>71</v>
      </c>
      <c r="CA13" t="s">
        <v>69</v>
      </c>
      <c r="CB13">
        <v>89.093999999999994</v>
      </c>
      <c r="CC13" t="s">
        <v>69</v>
      </c>
      <c r="CD13" t="s">
        <v>69</v>
      </c>
      <c r="CE13">
        <v>151</v>
      </c>
      <c r="CF13" t="s">
        <v>145</v>
      </c>
      <c r="CG13" t="s">
        <v>69</v>
      </c>
      <c r="CH13" t="s">
        <v>71</v>
      </c>
      <c r="CI13" t="s">
        <v>69</v>
      </c>
      <c r="CJ13">
        <v>131.17500000000001</v>
      </c>
      <c r="CK13" t="s">
        <v>69</v>
      </c>
      <c r="CL13" t="s">
        <v>69</v>
      </c>
    </row>
    <row r="14" spans="1:90" x14ac:dyDescent="0.25">
      <c r="A14">
        <v>7</v>
      </c>
      <c r="B14" t="str">
        <f>HYPERLINK("http://www.ncbi.nlm.nih.gov/protein/XP_047694866.1","XP_047694866.1")</f>
        <v>XP_047694866.1</v>
      </c>
      <c r="C14">
        <v>56399</v>
      </c>
      <c r="D14" t="str">
        <f>HYPERLINK("http://www.ncbi.nlm.nih.gov/Taxonomy/Browser/wwwtax.cgi?mode=Info&amp;id=61388&amp;lvl=3&amp;lin=f&amp;keep=1&amp;srchmode=1&amp;unlock","61388")</f>
        <v>61388</v>
      </c>
      <c r="E14" t="s">
        <v>66</v>
      </c>
      <c r="F14" t="str">
        <f>HYPERLINK("http://www.ncbi.nlm.nih.gov/Taxonomy/Browser/wwwtax.cgi?mode=Info&amp;id=61388&amp;lvl=3&amp;lin=f&amp;keep=1&amp;srchmode=1&amp;unlock","Prionailurus viverrinus")</f>
        <v>Prionailurus viverrinus</v>
      </c>
      <c r="G14" t="s">
        <v>94</v>
      </c>
      <c r="H14" t="str">
        <f>HYPERLINK("http://www.ncbi.nlm.nih.gov/protein/XP_047694866.1","40S ribosomal protein S2")</f>
        <v>40S ribosomal protein S2</v>
      </c>
      <c r="I14" t="s">
        <v>118</v>
      </c>
      <c r="J14" t="s">
        <v>69</v>
      </c>
      <c r="K14">
        <v>105</v>
      </c>
      <c r="L14" t="s">
        <v>119</v>
      </c>
      <c r="M14" t="s">
        <v>69</v>
      </c>
      <c r="N14" t="s">
        <v>120</v>
      </c>
      <c r="O14" t="s">
        <v>69</v>
      </c>
      <c r="P14">
        <v>147.131</v>
      </c>
      <c r="Q14" t="s">
        <v>69</v>
      </c>
      <c r="R14" t="s">
        <v>69</v>
      </c>
      <c r="S14">
        <v>107</v>
      </c>
      <c r="T14" t="s">
        <v>72</v>
      </c>
      <c r="U14" t="s">
        <v>69</v>
      </c>
      <c r="V14" t="s">
        <v>71</v>
      </c>
      <c r="W14" t="s">
        <v>69</v>
      </c>
      <c r="X14">
        <v>131.17500000000001</v>
      </c>
      <c r="Y14" t="s">
        <v>69</v>
      </c>
      <c r="Z14" t="s">
        <v>69</v>
      </c>
      <c r="AA14">
        <v>109</v>
      </c>
      <c r="AB14" t="s">
        <v>145</v>
      </c>
      <c r="AC14" t="s">
        <v>69</v>
      </c>
      <c r="AD14" t="s">
        <v>71</v>
      </c>
      <c r="AE14" t="s">
        <v>69</v>
      </c>
      <c r="AF14">
        <v>131.17500000000001</v>
      </c>
      <c r="AG14" t="s">
        <v>69</v>
      </c>
      <c r="AH14" t="s">
        <v>69</v>
      </c>
      <c r="AI14">
        <v>111</v>
      </c>
      <c r="AJ14" t="s">
        <v>146</v>
      </c>
      <c r="AK14" t="s">
        <v>69</v>
      </c>
      <c r="AL14" t="s">
        <v>71</v>
      </c>
      <c r="AM14" t="s">
        <v>69</v>
      </c>
      <c r="AN14">
        <v>115.13200000000001</v>
      </c>
      <c r="AO14" t="s">
        <v>69</v>
      </c>
      <c r="AP14" t="s">
        <v>69</v>
      </c>
      <c r="AQ14">
        <v>113</v>
      </c>
      <c r="AR14" t="s">
        <v>147</v>
      </c>
      <c r="AS14" t="s">
        <v>69</v>
      </c>
      <c r="AT14" t="s">
        <v>148</v>
      </c>
      <c r="AU14" t="s">
        <v>69</v>
      </c>
      <c r="AV14">
        <v>146.14599999999999</v>
      </c>
      <c r="AW14" t="s">
        <v>69</v>
      </c>
      <c r="AX14" t="s">
        <v>69</v>
      </c>
      <c r="AY14">
        <v>122</v>
      </c>
      <c r="AZ14" t="s">
        <v>149</v>
      </c>
      <c r="BA14" t="s">
        <v>69</v>
      </c>
      <c r="BB14" t="s">
        <v>150</v>
      </c>
      <c r="BC14" t="s">
        <v>69</v>
      </c>
      <c r="BD14">
        <v>119.119</v>
      </c>
      <c r="BE14" t="s">
        <v>69</v>
      </c>
      <c r="BF14" t="s">
        <v>69</v>
      </c>
      <c r="BG14">
        <v>124</v>
      </c>
      <c r="BH14" t="s">
        <v>151</v>
      </c>
      <c r="BI14" t="s">
        <v>69</v>
      </c>
      <c r="BJ14" t="s">
        <v>152</v>
      </c>
      <c r="BK14" t="s">
        <v>69</v>
      </c>
      <c r="BL14">
        <v>165.19200000000001</v>
      </c>
      <c r="BM14" t="s">
        <v>69</v>
      </c>
      <c r="BN14" t="s">
        <v>69</v>
      </c>
      <c r="BO14">
        <v>145</v>
      </c>
      <c r="BP14" t="s">
        <v>76</v>
      </c>
      <c r="BQ14" t="s">
        <v>69</v>
      </c>
      <c r="BR14" t="s">
        <v>75</v>
      </c>
      <c r="BS14" t="s">
        <v>69</v>
      </c>
      <c r="BT14">
        <v>146.18899999999999</v>
      </c>
      <c r="BU14" t="s">
        <v>69</v>
      </c>
      <c r="BV14" t="s">
        <v>69</v>
      </c>
      <c r="BW14">
        <v>148</v>
      </c>
      <c r="BX14" t="s">
        <v>73</v>
      </c>
      <c r="BY14" t="s">
        <v>69</v>
      </c>
      <c r="BZ14" t="s">
        <v>71</v>
      </c>
      <c r="CA14" t="s">
        <v>69</v>
      </c>
      <c r="CB14">
        <v>89.093999999999994</v>
      </c>
      <c r="CC14" t="s">
        <v>69</v>
      </c>
      <c r="CD14" t="s">
        <v>69</v>
      </c>
      <c r="CE14">
        <v>151</v>
      </c>
      <c r="CF14" t="s">
        <v>145</v>
      </c>
      <c r="CG14" t="s">
        <v>69</v>
      </c>
      <c r="CH14" t="s">
        <v>71</v>
      </c>
      <c r="CI14" t="s">
        <v>69</v>
      </c>
      <c r="CJ14">
        <v>131.17500000000001</v>
      </c>
      <c r="CK14" t="s">
        <v>69</v>
      </c>
      <c r="CL14" t="s">
        <v>69</v>
      </c>
    </row>
    <row r="15" spans="1:90" x14ac:dyDescent="0.25">
      <c r="A15">
        <v>7</v>
      </c>
      <c r="B15" t="str">
        <f>HYPERLINK("http://www.ncbi.nlm.nih.gov/protein/XP_020742174.1","XP_020742174.1")</f>
        <v>XP_020742174.1</v>
      </c>
      <c r="C15">
        <v>48218</v>
      </c>
      <c r="D15" t="str">
        <f>HYPERLINK("http://www.ncbi.nlm.nih.gov/Taxonomy/Browser/wwwtax.cgi?mode=Info&amp;id=9880&amp;lvl=3&amp;lin=f&amp;keep=1&amp;srchmode=1&amp;unlock","9880")</f>
        <v>9880</v>
      </c>
      <c r="E15" t="s">
        <v>66</v>
      </c>
      <c r="F15" t="str">
        <f>HYPERLINK("http://www.ncbi.nlm.nih.gov/Taxonomy/Browser/wwwtax.cgi?mode=Info&amp;id=9880&amp;lvl=3&amp;lin=f&amp;keep=1&amp;srchmode=1&amp;unlock","Odocoileus virginianus texanus")</f>
        <v>Odocoileus virginianus texanus</v>
      </c>
      <c r="G15" t="s">
        <v>81</v>
      </c>
      <c r="H15" t="str">
        <f>HYPERLINK("http://www.ncbi.nlm.nih.gov/protein/XP_020742174.1","40S ribosomal protein S2")</f>
        <v>40S ribosomal protein S2</v>
      </c>
      <c r="I15" t="s">
        <v>118</v>
      </c>
      <c r="J15" t="s">
        <v>69</v>
      </c>
      <c r="K15">
        <v>105</v>
      </c>
      <c r="L15" t="s">
        <v>119</v>
      </c>
      <c r="M15" t="s">
        <v>69</v>
      </c>
      <c r="N15" t="s">
        <v>120</v>
      </c>
      <c r="O15" t="s">
        <v>69</v>
      </c>
      <c r="P15">
        <v>147.131</v>
      </c>
      <c r="Q15" t="s">
        <v>69</v>
      </c>
      <c r="R15" t="s">
        <v>69</v>
      </c>
      <c r="S15">
        <v>107</v>
      </c>
      <c r="T15" t="s">
        <v>72</v>
      </c>
      <c r="U15" t="s">
        <v>69</v>
      </c>
      <c r="V15" t="s">
        <v>71</v>
      </c>
      <c r="W15" t="s">
        <v>69</v>
      </c>
      <c r="X15">
        <v>131.17500000000001</v>
      </c>
      <c r="Y15" t="s">
        <v>69</v>
      </c>
      <c r="Z15" t="s">
        <v>69</v>
      </c>
      <c r="AA15">
        <v>109</v>
      </c>
      <c r="AB15" t="s">
        <v>145</v>
      </c>
      <c r="AC15" t="s">
        <v>69</v>
      </c>
      <c r="AD15" t="s">
        <v>71</v>
      </c>
      <c r="AE15" t="s">
        <v>69</v>
      </c>
      <c r="AF15">
        <v>131.17500000000001</v>
      </c>
      <c r="AG15" t="s">
        <v>69</v>
      </c>
      <c r="AH15" t="s">
        <v>69</v>
      </c>
      <c r="AI15">
        <v>111</v>
      </c>
      <c r="AJ15" t="s">
        <v>146</v>
      </c>
      <c r="AK15" t="s">
        <v>69</v>
      </c>
      <c r="AL15" t="s">
        <v>71</v>
      </c>
      <c r="AM15" t="s">
        <v>69</v>
      </c>
      <c r="AN15">
        <v>115.13200000000001</v>
      </c>
      <c r="AO15" t="s">
        <v>69</v>
      </c>
      <c r="AP15" t="s">
        <v>69</v>
      </c>
      <c r="AQ15">
        <v>113</v>
      </c>
      <c r="AR15" t="s">
        <v>147</v>
      </c>
      <c r="AS15" t="s">
        <v>69</v>
      </c>
      <c r="AT15" t="s">
        <v>148</v>
      </c>
      <c r="AU15" t="s">
        <v>69</v>
      </c>
      <c r="AV15">
        <v>146.14599999999999</v>
      </c>
      <c r="AW15" t="s">
        <v>69</v>
      </c>
      <c r="AX15" t="s">
        <v>69</v>
      </c>
      <c r="AY15">
        <v>122</v>
      </c>
      <c r="AZ15" t="s">
        <v>149</v>
      </c>
      <c r="BA15" t="s">
        <v>69</v>
      </c>
      <c r="BB15" t="s">
        <v>150</v>
      </c>
      <c r="BC15" t="s">
        <v>69</v>
      </c>
      <c r="BD15">
        <v>119.119</v>
      </c>
      <c r="BE15" t="s">
        <v>69</v>
      </c>
      <c r="BF15" t="s">
        <v>69</v>
      </c>
      <c r="BG15">
        <v>124</v>
      </c>
      <c r="BH15" t="s">
        <v>151</v>
      </c>
      <c r="BI15" t="s">
        <v>69</v>
      </c>
      <c r="BJ15" t="s">
        <v>152</v>
      </c>
      <c r="BK15" t="s">
        <v>69</v>
      </c>
      <c r="BL15">
        <v>165.19200000000001</v>
      </c>
      <c r="BM15" t="s">
        <v>69</v>
      </c>
      <c r="BN15" t="s">
        <v>69</v>
      </c>
      <c r="BO15">
        <v>145</v>
      </c>
      <c r="BP15" t="s">
        <v>76</v>
      </c>
      <c r="BQ15" t="s">
        <v>69</v>
      </c>
      <c r="BR15" t="s">
        <v>75</v>
      </c>
      <c r="BS15" t="s">
        <v>69</v>
      </c>
      <c r="BT15">
        <v>146.18899999999999</v>
      </c>
      <c r="BU15" t="s">
        <v>69</v>
      </c>
      <c r="BV15" t="s">
        <v>69</v>
      </c>
      <c r="BW15">
        <v>148</v>
      </c>
      <c r="BX15" t="s">
        <v>73</v>
      </c>
      <c r="BY15" t="s">
        <v>69</v>
      </c>
      <c r="BZ15" t="s">
        <v>71</v>
      </c>
      <c r="CA15" t="s">
        <v>69</v>
      </c>
      <c r="CB15">
        <v>89.093999999999994</v>
      </c>
      <c r="CC15" t="s">
        <v>69</v>
      </c>
      <c r="CD15" t="s">
        <v>69</v>
      </c>
      <c r="CE15">
        <v>151</v>
      </c>
      <c r="CF15" t="s">
        <v>145</v>
      </c>
      <c r="CG15" t="s">
        <v>69</v>
      </c>
      <c r="CH15" t="s">
        <v>71</v>
      </c>
      <c r="CI15" t="s">
        <v>69</v>
      </c>
      <c r="CJ15">
        <v>131.17500000000001</v>
      </c>
      <c r="CK15" t="s">
        <v>69</v>
      </c>
      <c r="CL15" t="s">
        <v>69</v>
      </c>
    </row>
    <row r="16" spans="1:90" x14ac:dyDescent="0.25">
      <c r="A16">
        <v>7</v>
      </c>
      <c r="B16" t="str">
        <f>HYPERLINK("http://www.ncbi.nlm.nih.gov/protein/NP_001028785.1","NP_001028785.1")</f>
        <v>NP_001028785.1</v>
      </c>
      <c r="C16">
        <v>136186</v>
      </c>
      <c r="D16" t="str">
        <f>HYPERLINK("http://www.ncbi.nlm.nih.gov/Taxonomy/Browser/wwwtax.cgi?mode=Info&amp;id=9913&amp;lvl=3&amp;lin=f&amp;keep=1&amp;srchmode=1&amp;unlock","9913")</f>
        <v>9913</v>
      </c>
      <c r="E16" t="s">
        <v>66</v>
      </c>
      <c r="F16" t="str">
        <f>HYPERLINK("http://www.ncbi.nlm.nih.gov/Taxonomy/Browser/wwwtax.cgi?mode=Info&amp;id=9913&amp;lvl=3&amp;lin=f&amp;keep=1&amp;srchmode=1&amp;unlock","Bos taurus")</f>
        <v>Bos taurus</v>
      </c>
      <c r="G16" t="s">
        <v>82</v>
      </c>
      <c r="H16" t="str">
        <f>HYPERLINK("http://www.ncbi.nlm.nih.gov/protein/NP_001028785.1","40S ribosomal protein S2")</f>
        <v>40S ribosomal protein S2</v>
      </c>
      <c r="I16" t="s">
        <v>118</v>
      </c>
      <c r="J16" t="s">
        <v>69</v>
      </c>
      <c r="K16">
        <v>105</v>
      </c>
      <c r="L16" t="s">
        <v>119</v>
      </c>
      <c r="M16" t="s">
        <v>69</v>
      </c>
      <c r="N16" t="s">
        <v>120</v>
      </c>
      <c r="O16" t="s">
        <v>69</v>
      </c>
      <c r="P16">
        <v>147.131</v>
      </c>
      <c r="Q16" t="s">
        <v>69</v>
      </c>
      <c r="R16" t="s">
        <v>69</v>
      </c>
      <c r="S16">
        <v>107</v>
      </c>
      <c r="T16" t="s">
        <v>72</v>
      </c>
      <c r="U16" t="s">
        <v>69</v>
      </c>
      <c r="V16" t="s">
        <v>71</v>
      </c>
      <c r="W16" t="s">
        <v>69</v>
      </c>
      <c r="X16">
        <v>131.17500000000001</v>
      </c>
      <c r="Y16" t="s">
        <v>69</v>
      </c>
      <c r="Z16" t="s">
        <v>69</v>
      </c>
      <c r="AA16">
        <v>109</v>
      </c>
      <c r="AB16" t="s">
        <v>145</v>
      </c>
      <c r="AC16" t="s">
        <v>69</v>
      </c>
      <c r="AD16" t="s">
        <v>71</v>
      </c>
      <c r="AE16" t="s">
        <v>69</v>
      </c>
      <c r="AF16">
        <v>131.17500000000001</v>
      </c>
      <c r="AG16" t="s">
        <v>69</v>
      </c>
      <c r="AH16" t="s">
        <v>69</v>
      </c>
      <c r="AI16">
        <v>111</v>
      </c>
      <c r="AJ16" t="s">
        <v>146</v>
      </c>
      <c r="AK16" t="s">
        <v>69</v>
      </c>
      <c r="AL16" t="s">
        <v>71</v>
      </c>
      <c r="AM16" t="s">
        <v>69</v>
      </c>
      <c r="AN16">
        <v>115.13200000000001</v>
      </c>
      <c r="AO16" t="s">
        <v>69</v>
      </c>
      <c r="AP16" t="s">
        <v>69</v>
      </c>
      <c r="AQ16">
        <v>113</v>
      </c>
      <c r="AR16" t="s">
        <v>147</v>
      </c>
      <c r="AS16" t="s">
        <v>69</v>
      </c>
      <c r="AT16" t="s">
        <v>148</v>
      </c>
      <c r="AU16" t="s">
        <v>69</v>
      </c>
      <c r="AV16">
        <v>146.14599999999999</v>
      </c>
      <c r="AW16" t="s">
        <v>69</v>
      </c>
      <c r="AX16" t="s">
        <v>69</v>
      </c>
      <c r="AY16">
        <v>122</v>
      </c>
      <c r="AZ16" t="s">
        <v>149</v>
      </c>
      <c r="BA16" t="s">
        <v>69</v>
      </c>
      <c r="BB16" t="s">
        <v>150</v>
      </c>
      <c r="BC16" t="s">
        <v>69</v>
      </c>
      <c r="BD16">
        <v>119.119</v>
      </c>
      <c r="BE16" t="s">
        <v>69</v>
      </c>
      <c r="BF16" t="s">
        <v>69</v>
      </c>
      <c r="BG16">
        <v>124</v>
      </c>
      <c r="BH16" t="s">
        <v>151</v>
      </c>
      <c r="BI16" t="s">
        <v>69</v>
      </c>
      <c r="BJ16" t="s">
        <v>152</v>
      </c>
      <c r="BK16" t="s">
        <v>69</v>
      </c>
      <c r="BL16">
        <v>165.19200000000001</v>
      </c>
      <c r="BM16" t="s">
        <v>69</v>
      </c>
      <c r="BN16" t="s">
        <v>69</v>
      </c>
      <c r="BO16">
        <v>145</v>
      </c>
      <c r="BP16" t="s">
        <v>76</v>
      </c>
      <c r="BQ16" t="s">
        <v>69</v>
      </c>
      <c r="BR16" t="s">
        <v>75</v>
      </c>
      <c r="BS16" t="s">
        <v>69</v>
      </c>
      <c r="BT16">
        <v>146.18899999999999</v>
      </c>
      <c r="BU16" t="s">
        <v>69</v>
      </c>
      <c r="BV16" t="s">
        <v>69</v>
      </c>
      <c r="BW16">
        <v>148</v>
      </c>
      <c r="BX16" t="s">
        <v>73</v>
      </c>
      <c r="BY16" t="s">
        <v>69</v>
      </c>
      <c r="BZ16" t="s">
        <v>71</v>
      </c>
      <c r="CA16" t="s">
        <v>69</v>
      </c>
      <c r="CB16">
        <v>89.093999999999994</v>
      </c>
      <c r="CC16" t="s">
        <v>69</v>
      </c>
      <c r="CD16" t="s">
        <v>69</v>
      </c>
      <c r="CE16">
        <v>151</v>
      </c>
      <c r="CF16" t="s">
        <v>145</v>
      </c>
      <c r="CG16" t="s">
        <v>69</v>
      </c>
      <c r="CH16" t="s">
        <v>71</v>
      </c>
      <c r="CI16" t="s">
        <v>69</v>
      </c>
      <c r="CJ16">
        <v>131.17500000000001</v>
      </c>
      <c r="CK16" t="s">
        <v>69</v>
      </c>
      <c r="CL16" t="s">
        <v>69</v>
      </c>
    </row>
    <row r="17" spans="1:90" x14ac:dyDescent="0.25">
      <c r="A17">
        <v>7</v>
      </c>
      <c r="B17" t="str">
        <f>HYPERLINK("http://www.ncbi.nlm.nih.gov/protein/XP_022275969.1","XP_022275969.1")</f>
        <v>XP_022275969.1</v>
      </c>
      <c r="C17">
        <v>136357</v>
      </c>
      <c r="D17" t="str">
        <f>HYPERLINK("http://www.ncbi.nlm.nih.gov/Taxonomy/Browser/wwwtax.cgi?mode=Info&amp;id=9615&amp;lvl=3&amp;lin=f&amp;keep=1&amp;srchmode=1&amp;unlock","9615")</f>
        <v>9615</v>
      </c>
      <c r="E17" t="s">
        <v>66</v>
      </c>
      <c r="F17" t="str">
        <f>HYPERLINK("http://www.ncbi.nlm.nih.gov/Taxonomy/Browser/wwwtax.cgi?mode=Info&amp;id=9615&amp;lvl=3&amp;lin=f&amp;keep=1&amp;srchmode=1&amp;unlock","Canis lupus familiaris")</f>
        <v>Canis lupus familiaris</v>
      </c>
      <c r="G17" t="s">
        <v>84</v>
      </c>
      <c r="H17" t="str">
        <f>HYPERLINK("http://www.ncbi.nlm.nih.gov/protein/XP_022275969.1","40S ribosomal protein S2 isoform X1")</f>
        <v>40S ribosomal protein S2 isoform X1</v>
      </c>
      <c r="I17" t="s">
        <v>118</v>
      </c>
      <c r="J17" t="s">
        <v>69</v>
      </c>
      <c r="K17">
        <v>105</v>
      </c>
      <c r="L17" t="s">
        <v>119</v>
      </c>
      <c r="M17" t="s">
        <v>69</v>
      </c>
      <c r="N17" t="s">
        <v>120</v>
      </c>
      <c r="O17" t="s">
        <v>69</v>
      </c>
      <c r="P17">
        <v>147.131</v>
      </c>
      <c r="Q17" t="s">
        <v>69</v>
      </c>
      <c r="R17" t="s">
        <v>69</v>
      </c>
      <c r="S17">
        <v>107</v>
      </c>
      <c r="T17" t="s">
        <v>72</v>
      </c>
      <c r="U17" t="s">
        <v>69</v>
      </c>
      <c r="V17" t="s">
        <v>71</v>
      </c>
      <c r="W17" t="s">
        <v>69</v>
      </c>
      <c r="X17">
        <v>131.17500000000001</v>
      </c>
      <c r="Y17" t="s">
        <v>69</v>
      </c>
      <c r="Z17" t="s">
        <v>69</v>
      </c>
      <c r="AA17">
        <v>109</v>
      </c>
      <c r="AB17" t="s">
        <v>145</v>
      </c>
      <c r="AC17" t="s">
        <v>69</v>
      </c>
      <c r="AD17" t="s">
        <v>71</v>
      </c>
      <c r="AE17" t="s">
        <v>69</v>
      </c>
      <c r="AF17">
        <v>131.17500000000001</v>
      </c>
      <c r="AG17" t="s">
        <v>69</v>
      </c>
      <c r="AH17" t="s">
        <v>69</v>
      </c>
      <c r="AI17">
        <v>111</v>
      </c>
      <c r="AJ17" t="s">
        <v>146</v>
      </c>
      <c r="AK17" t="s">
        <v>69</v>
      </c>
      <c r="AL17" t="s">
        <v>71</v>
      </c>
      <c r="AM17" t="s">
        <v>69</v>
      </c>
      <c r="AN17">
        <v>115.13200000000001</v>
      </c>
      <c r="AO17" t="s">
        <v>69</v>
      </c>
      <c r="AP17" t="s">
        <v>69</v>
      </c>
      <c r="AQ17">
        <v>113</v>
      </c>
      <c r="AR17" t="s">
        <v>147</v>
      </c>
      <c r="AS17" t="s">
        <v>69</v>
      </c>
      <c r="AT17" t="s">
        <v>148</v>
      </c>
      <c r="AU17" t="s">
        <v>69</v>
      </c>
      <c r="AV17">
        <v>146.14599999999999</v>
      </c>
      <c r="AW17" t="s">
        <v>69</v>
      </c>
      <c r="AX17" t="s">
        <v>69</v>
      </c>
      <c r="AY17">
        <v>122</v>
      </c>
      <c r="AZ17" t="s">
        <v>149</v>
      </c>
      <c r="BA17" t="s">
        <v>69</v>
      </c>
      <c r="BB17" t="s">
        <v>150</v>
      </c>
      <c r="BC17" t="s">
        <v>69</v>
      </c>
      <c r="BD17">
        <v>119.119</v>
      </c>
      <c r="BE17" t="s">
        <v>69</v>
      </c>
      <c r="BF17" t="s">
        <v>69</v>
      </c>
      <c r="BG17">
        <v>124</v>
      </c>
      <c r="BH17" t="s">
        <v>151</v>
      </c>
      <c r="BI17" t="s">
        <v>69</v>
      </c>
      <c r="BJ17" t="s">
        <v>152</v>
      </c>
      <c r="BK17" t="s">
        <v>69</v>
      </c>
      <c r="BL17">
        <v>165.19200000000001</v>
      </c>
      <c r="BM17" t="s">
        <v>69</v>
      </c>
      <c r="BN17" t="s">
        <v>69</v>
      </c>
      <c r="BO17">
        <v>145</v>
      </c>
      <c r="BP17" t="s">
        <v>76</v>
      </c>
      <c r="BQ17" t="s">
        <v>69</v>
      </c>
      <c r="BR17" t="s">
        <v>75</v>
      </c>
      <c r="BS17" t="s">
        <v>69</v>
      </c>
      <c r="BT17">
        <v>146.18899999999999</v>
      </c>
      <c r="BU17" t="s">
        <v>69</v>
      </c>
      <c r="BV17" t="s">
        <v>69</v>
      </c>
      <c r="BW17">
        <v>148</v>
      </c>
      <c r="BX17" t="s">
        <v>73</v>
      </c>
      <c r="BY17" t="s">
        <v>69</v>
      </c>
      <c r="BZ17" t="s">
        <v>71</v>
      </c>
      <c r="CA17" t="s">
        <v>69</v>
      </c>
      <c r="CB17">
        <v>89.093999999999994</v>
      </c>
      <c r="CC17" t="s">
        <v>69</v>
      </c>
      <c r="CD17" t="s">
        <v>69</v>
      </c>
      <c r="CE17">
        <v>151</v>
      </c>
      <c r="CF17" t="s">
        <v>145</v>
      </c>
      <c r="CG17" t="s">
        <v>69</v>
      </c>
      <c r="CH17" t="s">
        <v>71</v>
      </c>
      <c r="CI17" t="s">
        <v>69</v>
      </c>
      <c r="CJ17">
        <v>131.17500000000001</v>
      </c>
      <c r="CK17" t="s">
        <v>69</v>
      </c>
      <c r="CL17" t="s">
        <v>69</v>
      </c>
    </row>
    <row r="18" spans="1:90" x14ac:dyDescent="0.25">
      <c r="A18">
        <v>7</v>
      </c>
      <c r="B18" t="str">
        <f>HYPERLINK("http://www.ncbi.nlm.nih.gov/protein/XP_044090172.1","XP_044090172.1")</f>
        <v>XP_044090172.1</v>
      </c>
      <c r="C18">
        <v>44640</v>
      </c>
      <c r="D18" t="str">
        <f>HYPERLINK("http://www.ncbi.nlm.nih.gov/Taxonomy/Browser/wwwtax.cgi?mode=Info&amp;id=452646&amp;lvl=3&amp;lin=f&amp;keep=1&amp;srchmode=1&amp;unlock","452646")</f>
        <v>452646</v>
      </c>
      <c r="E18" t="s">
        <v>66</v>
      </c>
      <c r="F18" t="str">
        <f>HYPERLINK("http://www.ncbi.nlm.nih.gov/Taxonomy/Browser/wwwtax.cgi?mode=Info&amp;id=452646&amp;lvl=3&amp;lin=f&amp;keep=1&amp;srchmode=1&amp;unlock","Neogale vison")</f>
        <v>Neogale vison</v>
      </c>
      <c r="G18" t="s">
        <v>96</v>
      </c>
      <c r="H18" t="str">
        <f>HYPERLINK("http://www.ncbi.nlm.nih.gov/protein/XP_044090172.1","40S ribosomal protein S2")</f>
        <v>40S ribosomal protein S2</v>
      </c>
      <c r="I18" t="s">
        <v>118</v>
      </c>
      <c r="J18" t="s">
        <v>69</v>
      </c>
      <c r="K18">
        <v>105</v>
      </c>
      <c r="L18" t="s">
        <v>119</v>
      </c>
      <c r="M18" t="s">
        <v>69</v>
      </c>
      <c r="N18" t="s">
        <v>120</v>
      </c>
      <c r="O18" t="s">
        <v>69</v>
      </c>
      <c r="P18">
        <v>147.131</v>
      </c>
      <c r="Q18" t="s">
        <v>69</v>
      </c>
      <c r="R18" t="s">
        <v>69</v>
      </c>
      <c r="S18">
        <v>107</v>
      </c>
      <c r="T18" t="s">
        <v>72</v>
      </c>
      <c r="U18" t="s">
        <v>69</v>
      </c>
      <c r="V18" t="s">
        <v>71</v>
      </c>
      <c r="W18" t="s">
        <v>69</v>
      </c>
      <c r="X18">
        <v>131.17500000000001</v>
      </c>
      <c r="Y18" t="s">
        <v>69</v>
      </c>
      <c r="Z18" t="s">
        <v>69</v>
      </c>
      <c r="AA18">
        <v>109</v>
      </c>
      <c r="AB18" t="s">
        <v>145</v>
      </c>
      <c r="AC18" t="s">
        <v>69</v>
      </c>
      <c r="AD18" t="s">
        <v>71</v>
      </c>
      <c r="AE18" t="s">
        <v>69</v>
      </c>
      <c r="AF18">
        <v>131.17500000000001</v>
      </c>
      <c r="AG18" t="s">
        <v>69</v>
      </c>
      <c r="AH18" t="s">
        <v>69</v>
      </c>
      <c r="AI18">
        <v>111</v>
      </c>
      <c r="AJ18" t="s">
        <v>146</v>
      </c>
      <c r="AK18" t="s">
        <v>69</v>
      </c>
      <c r="AL18" t="s">
        <v>71</v>
      </c>
      <c r="AM18" t="s">
        <v>69</v>
      </c>
      <c r="AN18">
        <v>115.13200000000001</v>
      </c>
      <c r="AO18" t="s">
        <v>69</v>
      </c>
      <c r="AP18" t="s">
        <v>69</v>
      </c>
      <c r="AQ18">
        <v>113</v>
      </c>
      <c r="AR18" t="s">
        <v>147</v>
      </c>
      <c r="AS18" t="s">
        <v>69</v>
      </c>
      <c r="AT18" t="s">
        <v>148</v>
      </c>
      <c r="AU18" t="s">
        <v>69</v>
      </c>
      <c r="AV18">
        <v>146.14599999999999</v>
      </c>
      <c r="AW18" t="s">
        <v>69</v>
      </c>
      <c r="AX18" t="s">
        <v>69</v>
      </c>
      <c r="AY18">
        <v>122</v>
      </c>
      <c r="AZ18" t="s">
        <v>149</v>
      </c>
      <c r="BA18" t="s">
        <v>69</v>
      </c>
      <c r="BB18" t="s">
        <v>150</v>
      </c>
      <c r="BC18" t="s">
        <v>69</v>
      </c>
      <c r="BD18">
        <v>119.119</v>
      </c>
      <c r="BE18" t="s">
        <v>69</v>
      </c>
      <c r="BF18" t="s">
        <v>69</v>
      </c>
      <c r="BG18">
        <v>124</v>
      </c>
      <c r="BH18" t="s">
        <v>151</v>
      </c>
      <c r="BI18" t="s">
        <v>69</v>
      </c>
      <c r="BJ18" t="s">
        <v>152</v>
      </c>
      <c r="BK18" t="s">
        <v>69</v>
      </c>
      <c r="BL18">
        <v>165.19200000000001</v>
      </c>
      <c r="BM18" t="s">
        <v>69</v>
      </c>
      <c r="BN18" t="s">
        <v>69</v>
      </c>
      <c r="BO18">
        <v>145</v>
      </c>
      <c r="BP18" t="s">
        <v>76</v>
      </c>
      <c r="BQ18" t="s">
        <v>69</v>
      </c>
      <c r="BR18" t="s">
        <v>75</v>
      </c>
      <c r="BS18" t="s">
        <v>69</v>
      </c>
      <c r="BT18">
        <v>146.18899999999999</v>
      </c>
      <c r="BU18" t="s">
        <v>69</v>
      </c>
      <c r="BV18" t="s">
        <v>69</v>
      </c>
      <c r="BW18">
        <v>148</v>
      </c>
      <c r="BX18" t="s">
        <v>73</v>
      </c>
      <c r="BY18" t="s">
        <v>69</v>
      </c>
      <c r="BZ18" t="s">
        <v>71</v>
      </c>
      <c r="CA18" t="s">
        <v>69</v>
      </c>
      <c r="CB18">
        <v>89.093999999999994</v>
      </c>
      <c r="CC18" t="s">
        <v>69</v>
      </c>
      <c r="CD18" t="s">
        <v>69</v>
      </c>
      <c r="CE18">
        <v>151</v>
      </c>
      <c r="CF18" t="s">
        <v>145</v>
      </c>
      <c r="CG18" t="s">
        <v>69</v>
      </c>
      <c r="CH18" t="s">
        <v>71</v>
      </c>
      <c r="CI18" t="s">
        <v>69</v>
      </c>
      <c r="CJ18">
        <v>131.17500000000001</v>
      </c>
      <c r="CK18" t="s">
        <v>69</v>
      </c>
      <c r="CL18" t="s">
        <v>69</v>
      </c>
    </row>
    <row r="19" spans="1:90" x14ac:dyDescent="0.25">
      <c r="A19">
        <v>7</v>
      </c>
      <c r="B19" t="str">
        <f>HYPERLINK("http://www.ncbi.nlm.nih.gov/protein/XP_004750800.1","XP_004750800.1")</f>
        <v>XP_004750800.1</v>
      </c>
      <c r="C19">
        <v>58003</v>
      </c>
      <c r="D19" t="str">
        <f>HYPERLINK("http://www.ncbi.nlm.nih.gov/Taxonomy/Browser/wwwtax.cgi?mode=Info&amp;id=9669&amp;lvl=3&amp;lin=f&amp;keep=1&amp;srchmode=1&amp;unlock","9669")</f>
        <v>9669</v>
      </c>
      <c r="E19" t="s">
        <v>66</v>
      </c>
      <c r="F19" t="str">
        <f>HYPERLINK("http://www.ncbi.nlm.nih.gov/Taxonomy/Browser/wwwtax.cgi?mode=Info&amp;id=9669&amp;lvl=3&amp;lin=f&amp;keep=1&amp;srchmode=1&amp;unlock","Mustela putorius furo")</f>
        <v>Mustela putorius furo</v>
      </c>
      <c r="G19" t="s">
        <v>98</v>
      </c>
      <c r="H19" t="str">
        <f>HYPERLINK("http://www.ncbi.nlm.nih.gov/protein/XP_004750800.1","40S ribosomal protein S2")</f>
        <v>40S ribosomal protein S2</v>
      </c>
      <c r="I19" t="s">
        <v>118</v>
      </c>
      <c r="J19" t="s">
        <v>69</v>
      </c>
      <c r="K19">
        <v>105</v>
      </c>
      <c r="L19" t="s">
        <v>119</v>
      </c>
      <c r="M19" t="s">
        <v>69</v>
      </c>
      <c r="N19" t="s">
        <v>120</v>
      </c>
      <c r="O19" t="s">
        <v>69</v>
      </c>
      <c r="P19">
        <v>147.131</v>
      </c>
      <c r="Q19" t="s">
        <v>69</v>
      </c>
      <c r="R19" t="s">
        <v>69</v>
      </c>
      <c r="S19">
        <v>107</v>
      </c>
      <c r="T19" t="s">
        <v>72</v>
      </c>
      <c r="U19" t="s">
        <v>69</v>
      </c>
      <c r="V19" t="s">
        <v>71</v>
      </c>
      <c r="W19" t="s">
        <v>69</v>
      </c>
      <c r="X19">
        <v>131.17500000000001</v>
      </c>
      <c r="Y19" t="s">
        <v>69</v>
      </c>
      <c r="Z19" t="s">
        <v>69</v>
      </c>
      <c r="AA19">
        <v>109</v>
      </c>
      <c r="AB19" t="s">
        <v>145</v>
      </c>
      <c r="AC19" t="s">
        <v>69</v>
      </c>
      <c r="AD19" t="s">
        <v>71</v>
      </c>
      <c r="AE19" t="s">
        <v>69</v>
      </c>
      <c r="AF19">
        <v>131.17500000000001</v>
      </c>
      <c r="AG19" t="s">
        <v>69</v>
      </c>
      <c r="AH19" t="s">
        <v>69</v>
      </c>
      <c r="AI19">
        <v>111</v>
      </c>
      <c r="AJ19" t="s">
        <v>146</v>
      </c>
      <c r="AK19" t="s">
        <v>69</v>
      </c>
      <c r="AL19" t="s">
        <v>71</v>
      </c>
      <c r="AM19" t="s">
        <v>69</v>
      </c>
      <c r="AN19">
        <v>115.13200000000001</v>
      </c>
      <c r="AO19" t="s">
        <v>69</v>
      </c>
      <c r="AP19" t="s">
        <v>69</v>
      </c>
      <c r="AQ19">
        <v>113</v>
      </c>
      <c r="AR19" t="s">
        <v>147</v>
      </c>
      <c r="AS19" t="s">
        <v>69</v>
      </c>
      <c r="AT19" t="s">
        <v>148</v>
      </c>
      <c r="AU19" t="s">
        <v>69</v>
      </c>
      <c r="AV19">
        <v>146.14599999999999</v>
      </c>
      <c r="AW19" t="s">
        <v>69</v>
      </c>
      <c r="AX19" t="s">
        <v>69</v>
      </c>
      <c r="AY19">
        <v>122</v>
      </c>
      <c r="AZ19" t="s">
        <v>149</v>
      </c>
      <c r="BA19" t="s">
        <v>69</v>
      </c>
      <c r="BB19" t="s">
        <v>150</v>
      </c>
      <c r="BC19" t="s">
        <v>69</v>
      </c>
      <c r="BD19">
        <v>119.119</v>
      </c>
      <c r="BE19" t="s">
        <v>69</v>
      </c>
      <c r="BF19" t="s">
        <v>69</v>
      </c>
      <c r="BG19">
        <v>124</v>
      </c>
      <c r="BH19" t="s">
        <v>151</v>
      </c>
      <c r="BI19" t="s">
        <v>69</v>
      </c>
      <c r="BJ19" t="s">
        <v>152</v>
      </c>
      <c r="BK19" t="s">
        <v>69</v>
      </c>
      <c r="BL19">
        <v>165.19200000000001</v>
      </c>
      <c r="BM19" t="s">
        <v>69</v>
      </c>
      <c r="BN19" t="s">
        <v>69</v>
      </c>
      <c r="BO19">
        <v>145</v>
      </c>
      <c r="BP19" t="s">
        <v>76</v>
      </c>
      <c r="BQ19" t="s">
        <v>69</v>
      </c>
      <c r="BR19" t="s">
        <v>75</v>
      </c>
      <c r="BS19" t="s">
        <v>69</v>
      </c>
      <c r="BT19">
        <v>146.18899999999999</v>
      </c>
      <c r="BU19" t="s">
        <v>69</v>
      </c>
      <c r="BV19" t="s">
        <v>69</v>
      </c>
      <c r="BW19">
        <v>148</v>
      </c>
      <c r="BX19" t="s">
        <v>73</v>
      </c>
      <c r="BY19" t="s">
        <v>69</v>
      </c>
      <c r="BZ19" t="s">
        <v>71</v>
      </c>
      <c r="CA19" t="s">
        <v>69</v>
      </c>
      <c r="CB19">
        <v>89.093999999999994</v>
      </c>
      <c r="CC19" t="s">
        <v>69</v>
      </c>
      <c r="CD19" t="s">
        <v>69</v>
      </c>
      <c r="CE19">
        <v>151</v>
      </c>
      <c r="CF19" t="s">
        <v>145</v>
      </c>
      <c r="CG19" t="s">
        <v>69</v>
      </c>
      <c r="CH19" t="s">
        <v>71</v>
      </c>
      <c r="CI19" t="s">
        <v>69</v>
      </c>
      <c r="CJ19">
        <v>131.17500000000001</v>
      </c>
      <c r="CK19" t="s">
        <v>69</v>
      </c>
      <c r="CL19" t="s">
        <v>69</v>
      </c>
    </row>
    <row r="20" spans="1:90" x14ac:dyDescent="0.25">
      <c r="A20">
        <v>7</v>
      </c>
      <c r="B20" t="str">
        <f>HYPERLINK("http://www.ncbi.nlm.nih.gov/protein/XP_045848854.1","XP_045848854.1")</f>
        <v>XP_045848854.1</v>
      </c>
      <c r="C20">
        <v>50752</v>
      </c>
      <c r="D20" t="str">
        <f>HYPERLINK("http://www.ncbi.nlm.nih.gov/Taxonomy/Browser/wwwtax.cgi?mode=Info&amp;id=9662&amp;lvl=3&amp;lin=f&amp;keep=1&amp;srchmode=1&amp;unlock","9662")</f>
        <v>9662</v>
      </c>
      <c r="E20" t="s">
        <v>66</v>
      </c>
      <c r="F20" t="str">
        <f>HYPERLINK("http://www.ncbi.nlm.nih.gov/Taxonomy/Browser/wwwtax.cgi?mode=Info&amp;id=9662&amp;lvl=3&amp;lin=f&amp;keep=1&amp;srchmode=1&amp;unlock","Meles meles")</f>
        <v>Meles meles</v>
      </c>
      <c r="G20" t="s">
        <v>99</v>
      </c>
      <c r="H20" t="str">
        <f>HYPERLINK("http://www.ncbi.nlm.nih.gov/protein/XP_045848854.1","40S ribosomal protein S2")</f>
        <v>40S ribosomal protein S2</v>
      </c>
      <c r="I20" t="s">
        <v>118</v>
      </c>
      <c r="J20" t="s">
        <v>69</v>
      </c>
      <c r="K20">
        <v>105</v>
      </c>
      <c r="L20" t="s">
        <v>119</v>
      </c>
      <c r="M20" t="s">
        <v>69</v>
      </c>
      <c r="N20" t="s">
        <v>120</v>
      </c>
      <c r="O20" t="s">
        <v>69</v>
      </c>
      <c r="P20">
        <v>147.131</v>
      </c>
      <c r="Q20" t="s">
        <v>69</v>
      </c>
      <c r="R20" t="s">
        <v>69</v>
      </c>
      <c r="S20">
        <v>107</v>
      </c>
      <c r="T20" t="s">
        <v>72</v>
      </c>
      <c r="U20" t="s">
        <v>69</v>
      </c>
      <c r="V20" t="s">
        <v>71</v>
      </c>
      <c r="W20" t="s">
        <v>69</v>
      </c>
      <c r="X20">
        <v>131.17500000000001</v>
      </c>
      <c r="Y20" t="s">
        <v>69</v>
      </c>
      <c r="Z20" t="s">
        <v>69</v>
      </c>
      <c r="AA20">
        <v>109</v>
      </c>
      <c r="AB20" t="s">
        <v>145</v>
      </c>
      <c r="AC20" t="s">
        <v>69</v>
      </c>
      <c r="AD20" t="s">
        <v>71</v>
      </c>
      <c r="AE20" t="s">
        <v>69</v>
      </c>
      <c r="AF20">
        <v>131.17500000000001</v>
      </c>
      <c r="AG20" t="s">
        <v>69</v>
      </c>
      <c r="AH20" t="s">
        <v>69</v>
      </c>
      <c r="AI20">
        <v>111</v>
      </c>
      <c r="AJ20" t="s">
        <v>146</v>
      </c>
      <c r="AK20" t="s">
        <v>69</v>
      </c>
      <c r="AL20" t="s">
        <v>71</v>
      </c>
      <c r="AM20" t="s">
        <v>69</v>
      </c>
      <c r="AN20">
        <v>115.13200000000001</v>
      </c>
      <c r="AO20" t="s">
        <v>69</v>
      </c>
      <c r="AP20" t="s">
        <v>69</v>
      </c>
      <c r="AQ20">
        <v>113</v>
      </c>
      <c r="AR20" t="s">
        <v>147</v>
      </c>
      <c r="AS20" t="s">
        <v>69</v>
      </c>
      <c r="AT20" t="s">
        <v>148</v>
      </c>
      <c r="AU20" t="s">
        <v>69</v>
      </c>
      <c r="AV20">
        <v>146.14599999999999</v>
      </c>
      <c r="AW20" t="s">
        <v>69</v>
      </c>
      <c r="AX20" t="s">
        <v>69</v>
      </c>
      <c r="AY20">
        <v>122</v>
      </c>
      <c r="AZ20" t="s">
        <v>149</v>
      </c>
      <c r="BA20" t="s">
        <v>69</v>
      </c>
      <c r="BB20" t="s">
        <v>150</v>
      </c>
      <c r="BC20" t="s">
        <v>69</v>
      </c>
      <c r="BD20">
        <v>119.119</v>
      </c>
      <c r="BE20" t="s">
        <v>69</v>
      </c>
      <c r="BF20" t="s">
        <v>69</v>
      </c>
      <c r="BG20">
        <v>124</v>
      </c>
      <c r="BH20" t="s">
        <v>151</v>
      </c>
      <c r="BI20" t="s">
        <v>69</v>
      </c>
      <c r="BJ20" t="s">
        <v>152</v>
      </c>
      <c r="BK20" t="s">
        <v>69</v>
      </c>
      <c r="BL20">
        <v>165.19200000000001</v>
      </c>
      <c r="BM20" t="s">
        <v>69</v>
      </c>
      <c r="BN20" t="s">
        <v>69</v>
      </c>
      <c r="BO20">
        <v>145</v>
      </c>
      <c r="BP20" t="s">
        <v>76</v>
      </c>
      <c r="BQ20" t="s">
        <v>69</v>
      </c>
      <c r="BR20" t="s">
        <v>75</v>
      </c>
      <c r="BS20" t="s">
        <v>69</v>
      </c>
      <c r="BT20">
        <v>146.18899999999999</v>
      </c>
      <c r="BU20" t="s">
        <v>69</v>
      </c>
      <c r="BV20" t="s">
        <v>69</v>
      </c>
      <c r="BW20">
        <v>148</v>
      </c>
      <c r="BX20" t="s">
        <v>73</v>
      </c>
      <c r="BY20" t="s">
        <v>69</v>
      </c>
      <c r="BZ20" t="s">
        <v>71</v>
      </c>
      <c r="CA20" t="s">
        <v>69</v>
      </c>
      <c r="CB20">
        <v>89.093999999999994</v>
      </c>
      <c r="CC20" t="s">
        <v>69</v>
      </c>
      <c r="CD20" t="s">
        <v>69</v>
      </c>
      <c r="CE20">
        <v>151</v>
      </c>
      <c r="CF20" t="s">
        <v>145</v>
      </c>
      <c r="CG20" t="s">
        <v>69</v>
      </c>
      <c r="CH20" t="s">
        <v>71</v>
      </c>
      <c r="CI20" t="s">
        <v>69</v>
      </c>
      <c r="CJ20">
        <v>131.17500000000001</v>
      </c>
      <c r="CK20" t="s">
        <v>69</v>
      </c>
      <c r="CL20" t="s">
        <v>69</v>
      </c>
    </row>
    <row r="21" spans="1:90" x14ac:dyDescent="0.25">
      <c r="A21">
        <v>7</v>
      </c>
      <c r="B21" t="str">
        <f>HYPERLINK("http://www.ncbi.nlm.nih.gov/protein/XP_047389722.1","XP_047389722.1")</f>
        <v>XP_047389722.1</v>
      </c>
      <c r="C21">
        <v>74939</v>
      </c>
      <c r="D21" t="str">
        <f>HYPERLINK("http://www.ncbi.nlm.nih.gov/Taxonomy/Browser/wwwtax.cgi?mode=Info&amp;id=30640&amp;lvl=3&amp;lin=f&amp;keep=1&amp;srchmode=1&amp;unlock","30640")</f>
        <v>30640</v>
      </c>
      <c r="E21" t="s">
        <v>66</v>
      </c>
      <c r="F21" t="str">
        <f>HYPERLINK("http://www.ncbi.nlm.nih.gov/Taxonomy/Browser/wwwtax.cgi?mode=Info&amp;id=30640&amp;lvl=3&amp;lin=f&amp;keep=1&amp;srchmode=1&amp;unlock","Neosciurus carolinensis")</f>
        <v>Neosciurus carolinensis</v>
      </c>
      <c r="G21" t="s">
        <v>101</v>
      </c>
      <c r="H21" t="str">
        <f>HYPERLINK("http://www.ncbi.nlm.nih.gov/protein/XP_047389722.1","40S ribosomal protein S2")</f>
        <v>40S ribosomal protein S2</v>
      </c>
      <c r="I21" t="s">
        <v>118</v>
      </c>
      <c r="J21" t="s">
        <v>69</v>
      </c>
      <c r="K21">
        <v>105</v>
      </c>
      <c r="L21" t="s">
        <v>119</v>
      </c>
      <c r="M21" t="s">
        <v>69</v>
      </c>
      <c r="N21" t="s">
        <v>120</v>
      </c>
      <c r="O21" t="s">
        <v>69</v>
      </c>
      <c r="P21">
        <v>147.131</v>
      </c>
      <c r="Q21" t="s">
        <v>69</v>
      </c>
      <c r="R21" t="s">
        <v>69</v>
      </c>
      <c r="S21">
        <v>107</v>
      </c>
      <c r="T21" t="s">
        <v>72</v>
      </c>
      <c r="U21" t="s">
        <v>69</v>
      </c>
      <c r="V21" t="s">
        <v>71</v>
      </c>
      <c r="W21" t="s">
        <v>69</v>
      </c>
      <c r="X21">
        <v>131.17500000000001</v>
      </c>
      <c r="Y21" t="s">
        <v>69</v>
      </c>
      <c r="Z21" t="s">
        <v>69</v>
      </c>
      <c r="AA21">
        <v>109</v>
      </c>
      <c r="AB21" t="s">
        <v>145</v>
      </c>
      <c r="AC21" t="s">
        <v>69</v>
      </c>
      <c r="AD21" t="s">
        <v>71</v>
      </c>
      <c r="AE21" t="s">
        <v>69</v>
      </c>
      <c r="AF21">
        <v>131.17500000000001</v>
      </c>
      <c r="AG21" t="s">
        <v>69</v>
      </c>
      <c r="AH21" t="s">
        <v>69</v>
      </c>
      <c r="AI21">
        <v>111</v>
      </c>
      <c r="AJ21" t="s">
        <v>146</v>
      </c>
      <c r="AK21" t="s">
        <v>69</v>
      </c>
      <c r="AL21" t="s">
        <v>71</v>
      </c>
      <c r="AM21" t="s">
        <v>69</v>
      </c>
      <c r="AN21">
        <v>115.13200000000001</v>
      </c>
      <c r="AO21" t="s">
        <v>69</v>
      </c>
      <c r="AP21" t="s">
        <v>69</v>
      </c>
      <c r="AQ21">
        <v>113</v>
      </c>
      <c r="AR21" t="s">
        <v>147</v>
      </c>
      <c r="AS21" t="s">
        <v>69</v>
      </c>
      <c r="AT21" t="s">
        <v>148</v>
      </c>
      <c r="AU21" t="s">
        <v>69</v>
      </c>
      <c r="AV21">
        <v>146.14599999999999</v>
      </c>
      <c r="AW21" t="s">
        <v>69</v>
      </c>
      <c r="AX21" t="s">
        <v>69</v>
      </c>
      <c r="AY21">
        <v>122</v>
      </c>
      <c r="AZ21" t="s">
        <v>149</v>
      </c>
      <c r="BA21" t="s">
        <v>69</v>
      </c>
      <c r="BB21" t="s">
        <v>150</v>
      </c>
      <c r="BC21" t="s">
        <v>69</v>
      </c>
      <c r="BD21">
        <v>119.119</v>
      </c>
      <c r="BE21" t="s">
        <v>69</v>
      </c>
      <c r="BF21" t="s">
        <v>69</v>
      </c>
      <c r="BG21">
        <v>124</v>
      </c>
      <c r="BH21" t="s">
        <v>151</v>
      </c>
      <c r="BI21" t="s">
        <v>69</v>
      </c>
      <c r="BJ21" t="s">
        <v>152</v>
      </c>
      <c r="BK21" t="s">
        <v>69</v>
      </c>
      <c r="BL21">
        <v>165.19200000000001</v>
      </c>
      <c r="BM21" t="s">
        <v>69</v>
      </c>
      <c r="BN21" t="s">
        <v>69</v>
      </c>
      <c r="BO21">
        <v>145</v>
      </c>
      <c r="BP21" t="s">
        <v>76</v>
      </c>
      <c r="BQ21" t="s">
        <v>69</v>
      </c>
      <c r="BR21" t="s">
        <v>75</v>
      </c>
      <c r="BS21" t="s">
        <v>69</v>
      </c>
      <c r="BT21">
        <v>146.18899999999999</v>
      </c>
      <c r="BU21" t="s">
        <v>69</v>
      </c>
      <c r="BV21" t="s">
        <v>69</v>
      </c>
      <c r="BW21">
        <v>148</v>
      </c>
      <c r="BX21" t="s">
        <v>73</v>
      </c>
      <c r="BY21" t="s">
        <v>69</v>
      </c>
      <c r="BZ21" t="s">
        <v>71</v>
      </c>
      <c r="CA21" t="s">
        <v>69</v>
      </c>
      <c r="CB21">
        <v>89.093999999999994</v>
      </c>
      <c r="CC21" t="s">
        <v>69</v>
      </c>
      <c r="CD21" t="s">
        <v>69</v>
      </c>
      <c r="CE21">
        <v>151</v>
      </c>
      <c r="CF21" t="s">
        <v>145</v>
      </c>
      <c r="CG21" t="s">
        <v>69</v>
      </c>
      <c r="CH21" t="s">
        <v>71</v>
      </c>
      <c r="CI21" t="s">
        <v>69</v>
      </c>
      <c r="CJ21">
        <v>131.17500000000001</v>
      </c>
      <c r="CK21" t="s">
        <v>69</v>
      </c>
      <c r="CL21" t="s">
        <v>69</v>
      </c>
    </row>
    <row r="22" spans="1:90" x14ac:dyDescent="0.25">
      <c r="A22">
        <v>7</v>
      </c>
      <c r="B22" t="str">
        <f>HYPERLINK("http://www.ncbi.nlm.nih.gov/protein/XP_020942455.1","XP_020942455.1")</f>
        <v>XP_020942455.1</v>
      </c>
      <c r="C22">
        <v>86952</v>
      </c>
      <c r="D22" t="str">
        <f>HYPERLINK("http://www.ncbi.nlm.nih.gov/Taxonomy/Browser/wwwtax.cgi?mode=Info&amp;id=9823&amp;lvl=3&amp;lin=f&amp;keep=1&amp;srchmode=1&amp;unlock","9823")</f>
        <v>9823</v>
      </c>
      <c r="E22" t="s">
        <v>66</v>
      </c>
      <c r="F22" t="str">
        <f>HYPERLINK("http://www.ncbi.nlm.nih.gov/Taxonomy/Browser/wwwtax.cgi?mode=Info&amp;id=9823&amp;lvl=3&amp;lin=f&amp;keep=1&amp;srchmode=1&amp;unlock","Sus scrofa")</f>
        <v>Sus scrofa</v>
      </c>
      <c r="G22" t="s">
        <v>85</v>
      </c>
      <c r="H22" t="str">
        <f>HYPERLINK("http://www.ncbi.nlm.nih.gov/protein/XP_020942455.1","40S ribosomal protein S2")</f>
        <v>40S ribosomal protein S2</v>
      </c>
      <c r="I22" t="s">
        <v>118</v>
      </c>
      <c r="J22" t="s">
        <v>69</v>
      </c>
      <c r="K22">
        <v>105</v>
      </c>
      <c r="L22" t="s">
        <v>119</v>
      </c>
      <c r="M22" t="s">
        <v>69</v>
      </c>
      <c r="N22" t="s">
        <v>120</v>
      </c>
      <c r="O22" t="s">
        <v>69</v>
      </c>
      <c r="P22">
        <v>147.131</v>
      </c>
      <c r="Q22" t="s">
        <v>69</v>
      </c>
      <c r="R22" t="s">
        <v>69</v>
      </c>
      <c r="S22">
        <v>107</v>
      </c>
      <c r="T22" t="s">
        <v>72</v>
      </c>
      <c r="U22" t="s">
        <v>69</v>
      </c>
      <c r="V22" t="s">
        <v>71</v>
      </c>
      <c r="W22" t="s">
        <v>69</v>
      </c>
      <c r="X22">
        <v>131.17500000000001</v>
      </c>
      <c r="Y22" t="s">
        <v>69</v>
      </c>
      <c r="Z22" t="s">
        <v>69</v>
      </c>
      <c r="AA22">
        <v>109</v>
      </c>
      <c r="AB22" t="s">
        <v>145</v>
      </c>
      <c r="AC22" t="s">
        <v>69</v>
      </c>
      <c r="AD22" t="s">
        <v>71</v>
      </c>
      <c r="AE22" t="s">
        <v>69</v>
      </c>
      <c r="AF22">
        <v>131.17500000000001</v>
      </c>
      <c r="AG22" t="s">
        <v>69</v>
      </c>
      <c r="AH22" t="s">
        <v>69</v>
      </c>
      <c r="AI22">
        <v>111</v>
      </c>
      <c r="AJ22" t="s">
        <v>146</v>
      </c>
      <c r="AK22" t="s">
        <v>69</v>
      </c>
      <c r="AL22" t="s">
        <v>71</v>
      </c>
      <c r="AM22" t="s">
        <v>69</v>
      </c>
      <c r="AN22">
        <v>115.13200000000001</v>
      </c>
      <c r="AO22" t="s">
        <v>69</v>
      </c>
      <c r="AP22" t="s">
        <v>69</v>
      </c>
      <c r="AQ22">
        <v>113</v>
      </c>
      <c r="AR22" t="s">
        <v>147</v>
      </c>
      <c r="AS22" t="s">
        <v>69</v>
      </c>
      <c r="AT22" t="s">
        <v>148</v>
      </c>
      <c r="AU22" t="s">
        <v>69</v>
      </c>
      <c r="AV22">
        <v>146.14599999999999</v>
      </c>
      <c r="AW22" t="s">
        <v>69</v>
      </c>
      <c r="AX22" t="s">
        <v>69</v>
      </c>
      <c r="AY22">
        <v>122</v>
      </c>
      <c r="AZ22" t="s">
        <v>149</v>
      </c>
      <c r="BA22" t="s">
        <v>69</v>
      </c>
      <c r="BB22" t="s">
        <v>150</v>
      </c>
      <c r="BC22" t="s">
        <v>69</v>
      </c>
      <c r="BD22">
        <v>119.119</v>
      </c>
      <c r="BE22" t="s">
        <v>69</v>
      </c>
      <c r="BF22" t="s">
        <v>69</v>
      </c>
      <c r="BG22">
        <v>124</v>
      </c>
      <c r="BH22" t="s">
        <v>151</v>
      </c>
      <c r="BI22" t="s">
        <v>69</v>
      </c>
      <c r="BJ22" t="s">
        <v>152</v>
      </c>
      <c r="BK22" t="s">
        <v>69</v>
      </c>
      <c r="BL22">
        <v>165.19200000000001</v>
      </c>
      <c r="BM22" t="s">
        <v>69</v>
      </c>
      <c r="BN22" t="s">
        <v>69</v>
      </c>
      <c r="BO22">
        <v>145</v>
      </c>
      <c r="BP22" t="s">
        <v>76</v>
      </c>
      <c r="BQ22" t="s">
        <v>69</v>
      </c>
      <c r="BR22" t="s">
        <v>75</v>
      </c>
      <c r="BS22" t="s">
        <v>69</v>
      </c>
      <c r="BT22">
        <v>146.18899999999999</v>
      </c>
      <c r="BU22" t="s">
        <v>69</v>
      </c>
      <c r="BV22" t="s">
        <v>69</v>
      </c>
      <c r="BW22">
        <v>148</v>
      </c>
      <c r="BX22" t="s">
        <v>73</v>
      </c>
      <c r="BY22" t="s">
        <v>69</v>
      </c>
      <c r="BZ22" t="s">
        <v>71</v>
      </c>
      <c r="CA22" t="s">
        <v>69</v>
      </c>
      <c r="CB22">
        <v>89.093999999999994</v>
      </c>
      <c r="CC22" t="s">
        <v>69</v>
      </c>
      <c r="CD22" t="s">
        <v>69</v>
      </c>
      <c r="CE22">
        <v>151</v>
      </c>
      <c r="CF22" t="s">
        <v>145</v>
      </c>
      <c r="CG22" t="s">
        <v>69</v>
      </c>
      <c r="CH22" t="s">
        <v>71</v>
      </c>
      <c r="CI22" t="s">
        <v>69</v>
      </c>
      <c r="CJ22">
        <v>131.17500000000001</v>
      </c>
      <c r="CK22" t="s">
        <v>69</v>
      </c>
      <c r="CL22" t="s">
        <v>69</v>
      </c>
    </row>
    <row r="23" spans="1:90" x14ac:dyDescent="0.25">
      <c r="A23">
        <v>7</v>
      </c>
      <c r="B23" t="str">
        <f>HYPERLINK("http://www.ncbi.nlm.nih.gov/protein/XP_006978967.1","XP_006978967.1")</f>
        <v>XP_006978967.1</v>
      </c>
      <c r="C23">
        <v>54287</v>
      </c>
      <c r="D23" t="str">
        <f>HYPERLINK("http://www.ncbi.nlm.nih.gov/Taxonomy/Browser/wwwtax.cgi?mode=Info&amp;id=230844&amp;lvl=3&amp;lin=f&amp;keep=1&amp;srchmode=1&amp;unlock","230844")</f>
        <v>230844</v>
      </c>
      <c r="E23" t="s">
        <v>66</v>
      </c>
      <c r="F23" t="str">
        <f>HYPERLINK("http://www.ncbi.nlm.nih.gov/Taxonomy/Browser/wwwtax.cgi?mode=Info&amp;id=230844&amp;lvl=3&amp;lin=f&amp;keep=1&amp;srchmode=1&amp;unlock","Peromyscus maniculatus bairdii")</f>
        <v>Peromyscus maniculatus bairdii</v>
      </c>
      <c r="G23" t="s">
        <v>88</v>
      </c>
      <c r="H23" t="str">
        <f>HYPERLINK("http://www.ncbi.nlm.nih.gov/protein/XP_006978967.1","40S ribosomal protein S2")</f>
        <v>40S ribosomal protein S2</v>
      </c>
      <c r="I23" t="s">
        <v>118</v>
      </c>
      <c r="J23" t="s">
        <v>69</v>
      </c>
      <c r="K23">
        <v>105</v>
      </c>
      <c r="L23" t="s">
        <v>119</v>
      </c>
      <c r="M23" t="s">
        <v>69</v>
      </c>
      <c r="N23" t="s">
        <v>120</v>
      </c>
      <c r="O23" t="s">
        <v>69</v>
      </c>
      <c r="P23">
        <v>147.131</v>
      </c>
      <c r="Q23" t="s">
        <v>69</v>
      </c>
      <c r="R23" t="s">
        <v>69</v>
      </c>
      <c r="S23">
        <v>107</v>
      </c>
      <c r="T23" t="s">
        <v>72</v>
      </c>
      <c r="U23" t="s">
        <v>69</v>
      </c>
      <c r="V23" t="s">
        <v>71</v>
      </c>
      <c r="W23" t="s">
        <v>69</v>
      </c>
      <c r="X23">
        <v>131.17500000000001</v>
      </c>
      <c r="Y23" t="s">
        <v>69</v>
      </c>
      <c r="Z23" t="s">
        <v>69</v>
      </c>
      <c r="AA23">
        <v>109</v>
      </c>
      <c r="AB23" t="s">
        <v>145</v>
      </c>
      <c r="AC23" t="s">
        <v>69</v>
      </c>
      <c r="AD23" t="s">
        <v>71</v>
      </c>
      <c r="AE23" t="s">
        <v>69</v>
      </c>
      <c r="AF23">
        <v>131.17500000000001</v>
      </c>
      <c r="AG23" t="s">
        <v>69</v>
      </c>
      <c r="AH23" t="s">
        <v>69</v>
      </c>
      <c r="AI23">
        <v>111</v>
      </c>
      <c r="AJ23" t="s">
        <v>146</v>
      </c>
      <c r="AK23" t="s">
        <v>69</v>
      </c>
      <c r="AL23" t="s">
        <v>71</v>
      </c>
      <c r="AM23" t="s">
        <v>69</v>
      </c>
      <c r="AN23">
        <v>115.13200000000001</v>
      </c>
      <c r="AO23" t="s">
        <v>69</v>
      </c>
      <c r="AP23" t="s">
        <v>69</v>
      </c>
      <c r="AQ23">
        <v>113</v>
      </c>
      <c r="AR23" t="s">
        <v>147</v>
      </c>
      <c r="AS23" t="s">
        <v>69</v>
      </c>
      <c r="AT23" t="s">
        <v>148</v>
      </c>
      <c r="AU23" t="s">
        <v>69</v>
      </c>
      <c r="AV23">
        <v>146.14599999999999</v>
      </c>
      <c r="AW23" t="s">
        <v>69</v>
      </c>
      <c r="AX23" t="s">
        <v>69</v>
      </c>
      <c r="AY23">
        <v>122</v>
      </c>
      <c r="AZ23" t="s">
        <v>149</v>
      </c>
      <c r="BA23" t="s">
        <v>69</v>
      </c>
      <c r="BB23" t="s">
        <v>150</v>
      </c>
      <c r="BC23" t="s">
        <v>69</v>
      </c>
      <c r="BD23">
        <v>119.119</v>
      </c>
      <c r="BE23" t="s">
        <v>69</v>
      </c>
      <c r="BF23" t="s">
        <v>69</v>
      </c>
      <c r="BG23">
        <v>124</v>
      </c>
      <c r="BH23" t="s">
        <v>151</v>
      </c>
      <c r="BI23" t="s">
        <v>69</v>
      </c>
      <c r="BJ23" t="s">
        <v>152</v>
      </c>
      <c r="BK23" t="s">
        <v>69</v>
      </c>
      <c r="BL23">
        <v>165.19200000000001</v>
      </c>
      <c r="BM23" t="s">
        <v>69</v>
      </c>
      <c r="BN23" t="s">
        <v>69</v>
      </c>
      <c r="BO23">
        <v>145</v>
      </c>
      <c r="BP23" t="s">
        <v>76</v>
      </c>
      <c r="BQ23" t="s">
        <v>69</v>
      </c>
      <c r="BR23" t="s">
        <v>75</v>
      </c>
      <c r="BS23" t="s">
        <v>69</v>
      </c>
      <c r="BT23">
        <v>146.18899999999999</v>
      </c>
      <c r="BU23" t="s">
        <v>69</v>
      </c>
      <c r="BV23" t="s">
        <v>69</v>
      </c>
      <c r="BW23">
        <v>148</v>
      </c>
      <c r="BX23" t="s">
        <v>73</v>
      </c>
      <c r="BY23" t="s">
        <v>69</v>
      </c>
      <c r="BZ23" t="s">
        <v>71</v>
      </c>
      <c r="CA23" t="s">
        <v>69</v>
      </c>
      <c r="CB23">
        <v>89.093999999999994</v>
      </c>
      <c r="CC23" t="s">
        <v>69</v>
      </c>
      <c r="CD23" t="s">
        <v>69</v>
      </c>
      <c r="CE23">
        <v>151</v>
      </c>
      <c r="CF23" t="s">
        <v>145</v>
      </c>
      <c r="CG23" t="s">
        <v>69</v>
      </c>
      <c r="CH23" t="s">
        <v>71</v>
      </c>
      <c r="CI23" t="s">
        <v>69</v>
      </c>
      <c r="CJ23">
        <v>131.17500000000001</v>
      </c>
      <c r="CK23" t="s">
        <v>69</v>
      </c>
      <c r="CL23" t="s">
        <v>69</v>
      </c>
    </row>
    <row r="24" spans="1:90" x14ac:dyDescent="0.25">
      <c r="A24">
        <v>7</v>
      </c>
      <c r="B24" t="str">
        <f>HYPERLINK("http://www.ncbi.nlm.nih.gov/protein/NP_114026.3","NP_114026.3")</f>
        <v>NP_114026.3</v>
      </c>
      <c r="C24">
        <v>158159</v>
      </c>
      <c r="D24" t="str">
        <f>HYPERLINK("http://www.ncbi.nlm.nih.gov/Taxonomy/Browser/wwwtax.cgi?mode=Info&amp;id=10116&amp;lvl=3&amp;lin=f&amp;keep=1&amp;srchmode=1&amp;unlock","10116")</f>
        <v>10116</v>
      </c>
      <c r="E24" t="s">
        <v>66</v>
      </c>
      <c r="F24" t="str">
        <f>HYPERLINK("http://www.ncbi.nlm.nih.gov/Taxonomy/Browser/wwwtax.cgi?mode=Info&amp;id=10116&amp;lvl=3&amp;lin=f&amp;keep=1&amp;srchmode=1&amp;unlock","Rattus norvegicus")</f>
        <v>Rattus norvegicus</v>
      </c>
      <c r="G24" t="s">
        <v>102</v>
      </c>
      <c r="H24" t="str">
        <f>HYPERLINK("http://www.ncbi.nlm.nih.gov/protein/NP_114026.3","40S ribosomal protein S2")</f>
        <v>40S ribosomal protein S2</v>
      </c>
      <c r="I24" t="s">
        <v>118</v>
      </c>
      <c r="J24" t="s">
        <v>69</v>
      </c>
      <c r="K24">
        <v>105</v>
      </c>
      <c r="L24" t="s">
        <v>119</v>
      </c>
      <c r="M24" t="s">
        <v>69</v>
      </c>
      <c r="N24" t="s">
        <v>120</v>
      </c>
      <c r="O24" t="s">
        <v>69</v>
      </c>
      <c r="P24">
        <v>147.131</v>
      </c>
      <c r="Q24" t="s">
        <v>69</v>
      </c>
      <c r="R24" t="s">
        <v>69</v>
      </c>
      <c r="S24">
        <v>107</v>
      </c>
      <c r="T24" t="s">
        <v>72</v>
      </c>
      <c r="U24" t="s">
        <v>69</v>
      </c>
      <c r="V24" t="s">
        <v>71</v>
      </c>
      <c r="W24" t="s">
        <v>69</v>
      </c>
      <c r="X24">
        <v>131.17500000000001</v>
      </c>
      <c r="Y24" t="s">
        <v>69</v>
      </c>
      <c r="Z24" t="s">
        <v>69</v>
      </c>
      <c r="AA24">
        <v>109</v>
      </c>
      <c r="AB24" t="s">
        <v>145</v>
      </c>
      <c r="AC24" t="s">
        <v>69</v>
      </c>
      <c r="AD24" t="s">
        <v>71</v>
      </c>
      <c r="AE24" t="s">
        <v>69</v>
      </c>
      <c r="AF24">
        <v>131.17500000000001</v>
      </c>
      <c r="AG24" t="s">
        <v>69</v>
      </c>
      <c r="AH24" t="s">
        <v>69</v>
      </c>
      <c r="AI24">
        <v>111</v>
      </c>
      <c r="AJ24" t="s">
        <v>146</v>
      </c>
      <c r="AK24" t="s">
        <v>69</v>
      </c>
      <c r="AL24" t="s">
        <v>71</v>
      </c>
      <c r="AM24" t="s">
        <v>69</v>
      </c>
      <c r="AN24">
        <v>115.13200000000001</v>
      </c>
      <c r="AO24" t="s">
        <v>69</v>
      </c>
      <c r="AP24" t="s">
        <v>69</v>
      </c>
      <c r="AQ24">
        <v>113</v>
      </c>
      <c r="AR24" t="s">
        <v>147</v>
      </c>
      <c r="AS24" t="s">
        <v>69</v>
      </c>
      <c r="AT24" t="s">
        <v>148</v>
      </c>
      <c r="AU24" t="s">
        <v>69</v>
      </c>
      <c r="AV24">
        <v>146.14599999999999</v>
      </c>
      <c r="AW24" t="s">
        <v>69</v>
      </c>
      <c r="AX24" t="s">
        <v>69</v>
      </c>
      <c r="AY24">
        <v>122</v>
      </c>
      <c r="AZ24" t="s">
        <v>149</v>
      </c>
      <c r="BA24" t="s">
        <v>69</v>
      </c>
      <c r="BB24" t="s">
        <v>150</v>
      </c>
      <c r="BC24" t="s">
        <v>69</v>
      </c>
      <c r="BD24">
        <v>119.119</v>
      </c>
      <c r="BE24" t="s">
        <v>69</v>
      </c>
      <c r="BF24" t="s">
        <v>69</v>
      </c>
      <c r="BG24">
        <v>124</v>
      </c>
      <c r="BH24" t="s">
        <v>151</v>
      </c>
      <c r="BI24" t="s">
        <v>69</v>
      </c>
      <c r="BJ24" t="s">
        <v>152</v>
      </c>
      <c r="BK24" t="s">
        <v>69</v>
      </c>
      <c r="BL24">
        <v>165.19200000000001</v>
      </c>
      <c r="BM24" t="s">
        <v>69</v>
      </c>
      <c r="BN24" t="s">
        <v>69</v>
      </c>
      <c r="BO24">
        <v>145</v>
      </c>
      <c r="BP24" t="s">
        <v>76</v>
      </c>
      <c r="BQ24" t="s">
        <v>69</v>
      </c>
      <c r="BR24" t="s">
        <v>75</v>
      </c>
      <c r="BS24" t="s">
        <v>69</v>
      </c>
      <c r="BT24">
        <v>146.18899999999999</v>
      </c>
      <c r="BU24" t="s">
        <v>69</v>
      </c>
      <c r="BV24" t="s">
        <v>69</v>
      </c>
      <c r="BW24">
        <v>148</v>
      </c>
      <c r="BX24" t="s">
        <v>73</v>
      </c>
      <c r="BY24" t="s">
        <v>69</v>
      </c>
      <c r="BZ24" t="s">
        <v>71</v>
      </c>
      <c r="CA24" t="s">
        <v>69</v>
      </c>
      <c r="CB24">
        <v>89.093999999999994</v>
      </c>
      <c r="CC24" t="s">
        <v>69</v>
      </c>
      <c r="CD24" t="s">
        <v>69</v>
      </c>
      <c r="CE24">
        <v>151</v>
      </c>
      <c r="CF24" t="s">
        <v>145</v>
      </c>
      <c r="CG24" t="s">
        <v>69</v>
      </c>
      <c r="CH24" t="s">
        <v>71</v>
      </c>
      <c r="CI24" t="s">
        <v>69</v>
      </c>
      <c r="CJ24">
        <v>131.17500000000001</v>
      </c>
      <c r="CK24" t="s">
        <v>69</v>
      </c>
      <c r="CL24" t="s">
        <v>69</v>
      </c>
    </row>
    <row r="25" spans="1:90" x14ac:dyDescent="0.25">
      <c r="A25">
        <v>7</v>
      </c>
      <c r="B25" t="str">
        <f>HYPERLINK("http://www.ncbi.nlm.nih.gov/protein/XP_015992076.1","XP_015992076.1")</f>
        <v>XP_015992076.1</v>
      </c>
      <c r="C25">
        <v>117142</v>
      </c>
      <c r="D25" t="str">
        <f>HYPERLINK("http://www.ncbi.nlm.nih.gov/Taxonomy/Browser/wwwtax.cgi?mode=Info&amp;id=9407&amp;lvl=3&amp;lin=f&amp;keep=1&amp;srchmode=1&amp;unlock","9407")</f>
        <v>9407</v>
      </c>
      <c r="E25" t="s">
        <v>66</v>
      </c>
      <c r="F25" t="str">
        <f>HYPERLINK("http://www.ncbi.nlm.nih.gov/Taxonomy/Browser/wwwtax.cgi?mode=Info&amp;id=9407&amp;lvl=3&amp;lin=f&amp;keep=1&amp;srchmode=1&amp;unlock","Rousettus aegyptiacus")</f>
        <v>Rousettus aegyptiacus</v>
      </c>
      <c r="G25" t="s">
        <v>103</v>
      </c>
      <c r="H25" t="str">
        <f>HYPERLINK("http://www.ncbi.nlm.nih.gov/protein/XP_015992076.1","40S ribosomal protein S2")</f>
        <v>40S ribosomal protein S2</v>
      </c>
      <c r="I25" t="s">
        <v>118</v>
      </c>
      <c r="J25" t="s">
        <v>69</v>
      </c>
      <c r="K25">
        <v>105</v>
      </c>
      <c r="L25" t="s">
        <v>119</v>
      </c>
      <c r="M25" t="s">
        <v>69</v>
      </c>
      <c r="N25" t="s">
        <v>120</v>
      </c>
      <c r="O25" t="s">
        <v>69</v>
      </c>
      <c r="P25">
        <v>147.131</v>
      </c>
      <c r="Q25" t="s">
        <v>69</v>
      </c>
      <c r="R25" t="s">
        <v>69</v>
      </c>
      <c r="S25">
        <v>107</v>
      </c>
      <c r="T25" t="s">
        <v>72</v>
      </c>
      <c r="U25" t="s">
        <v>69</v>
      </c>
      <c r="V25" t="s">
        <v>71</v>
      </c>
      <c r="W25" t="s">
        <v>69</v>
      </c>
      <c r="X25">
        <v>131.17500000000001</v>
      </c>
      <c r="Y25" t="s">
        <v>69</v>
      </c>
      <c r="Z25" t="s">
        <v>69</v>
      </c>
      <c r="AA25">
        <v>109</v>
      </c>
      <c r="AB25" t="s">
        <v>145</v>
      </c>
      <c r="AC25" t="s">
        <v>69</v>
      </c>
      <c r="AD25" t="s">
        <v>71</v>
      </c>
      <c r="AE25" t="s">
        <v>69</v>
      </c>
      <c r="AF25">
        <v>131.17500000000001</v>
      </c>
      <c r="AG25" t="s">
        <v>69</v>
      </c>
      <c r="AH25" t="s">
        <v>69</v>
      </c>
      <c r="AI25">
        <v>111</v>
      </c>
      <c r="AJ25" t="s">
        <v>146</v>
      </c>
      <c r="AK25" t="s">
        <v>69</v>
      </c>
      <c r="AL25" t="s">
        <v>71</v>
      </c>
      <c r="AM25" t="s">
        <v>69</v>
      </c>
      <c r="AN25">
        <v>115.13200000000001</v>
      </c>
      <c r="AO25" t="s">
        <v>69</v>
      </c>
      <c r="AP25" t="s">
        <v>69</v>
      </c>
      <c r="AQ25">
        <v>113</v>
      </c>
      <c r="AR25" t="s">
        <v>147</v>
      </c>
      <c r="AS25" t="s">
        <v>69</v>
      </c>
      <c r="AT25" t="s">
        <v>148</v>
      </c>
      <c r="AU25" t="s">
        <v>69</v>
      </c>
      <c r="AV25">
        <v>146.14599999999999</v>
      </c>
      <c r="AW25" t="s">
        <v>69</v>
      </c>
      <c r="AX25" t="s">
        <v>69</v>
      </c>
      <c r="AY25">
        <v>122</v>
      </c>
      <c r="AZ25" t="s">
        <v>149</v>
      </c>
      <c r="BA25" t="s">
        <v>69</v>
      </c>
      <c r="BB25" t="s">
        <v>150</v>
      </c>
      <c r="BC25" t="s">
        <v>69</v>
      </c>
      <c r="BD25">
        <v>119.119</v>
      </c>
      <c r="BE25" t="s">
        <v>69</v>
      </c>
      <c r="BF25" t="s">
        <v>69</v>
      </c>
      <c r="BG25">
        <v>124</v>
      </c>
      <c r="BH25" t="s">
        <v>151</v>
      </c>
      <c r="BI25" t="s">
        <v>69</v>
      </c>
      <c r="BJ25" t="s">
        <v>152</v>
      </c>
      <c r="BK25" t="s">
        <v>69</v>
      </c>
      <c r="BL25">
        <v>165.19200000000001</v>
      </c>
      <c r="BM25" t="s">
        <v>69</v>
      </c>
      <c r="BN25" t="s">
        <v>69</v>
      </c>
      <c r="BO25">
        <v>145</v>
      </c>
      <c r="BP25" t="s">
        <v>76</v>
      </c>
      <c r="BQ25" t="s">
        <v>69</v>
      </c>
      <c r="BR25" t="s">
        <v>75</v>
      </c>
      <c r="BS25" t="s">
        <v>69</v>
      </c>
      <c r="BT25">
        <v>146.18899999999999</v>
      </c>
      <c r="BU25" t="s">
        <v>69</v>
      </c>
      <c r="BV25" t="s">
        <v>69</v>
      </c>
      <c r="BW25">
        <v>148</v>
      </c>
      <c r="BX25" t="s">
        <v>73</v>
      </c>
      <c r="BY25" t="s">
        <v>69</v>
      </c>
      <c r="BZ25" t="s">
        <v>71</v>
      </c>
      <c r="CA25" t="s">
        <v>69</v>
      </c>
      <c r="CB25">
        <v>89.093999999999994</v>
      </c>
      <c r="CC25" t="s">
        <v>69</v>
      </c>
      <c r="CD25" t="s">
        <v>69</v>
      </c>
      <c r="CE25">
        <v>151</v>
      </c>
      <c r="CF25" t="s">
        <v>145</v>
      </c>
      <c r="CG25" t="s">
        <v>69</v>
      </c>
      <c r="CH25" t="s">
        <v>71</v>
      </c>
      <c r="CI25" t="s">
        <v>69</v>
      </c>
      <c r="CJ25">
        <v>131.17500000000001</v>
      </c>
      <c r="CK25" t="s">
        <v>69</v>
      </c>
      <c r="CL25" t="s">
        <v>69</v>
      </c>
    </row>
    <row r="26" spans="1:90" x14ac:dyDescent="0.25">
      <c r="A26">
        <v>7</v>
      </c>
      <c r="B26" t="str">
        <f>HYPERLINK("http://www.ncbi.nlm.nih.gov/protein/NP_032529.2","NP_032529.2")</f>
        <v>NP_032529.2</v>
      </c>
      <c r="C26">
        <v>337449</v>
      </c>
      <c r="D26" t="str">
        <f>HYPERLINK("http://www.ncbi.nlm.nih.gov/Taxonomy/Browser/wwwtax.cgi?mode=Info&amp;id=10090&amp;lvl=3&amp;lin=f&amp;keep=1&amp;srchmode=1&amp;unlock","10090")</f>
        <v>10090</v>
      </c>
      <c r="E26" t="s">
        <v>66</v>
      </c>
      <c r="F26" t="str">
        <f>HYPERLINK("http://www.ncbi.nlm.nih.gov/Taxonomy/Browser/wwwtax.cgi?mode=Info&amp;id=10090&amp;lvl=3&amp;lin=f&amp;keep=1&amp;srchmode=1&amp;unlock","Mus musculus")</f>
        <v>Mus musculus</v>
      </c>
      <c r="G26" t="s">
        <v>104</v>
      </c>
      <c r="H26" t="str">
        <f>HYPERLINK("http://www.ncbi.nlm.nih.gov/protein/NP_032529.2","40S ribosomal protein S2")</f>
        <v>40S ribosomal protein S2</v>
      </c>
      <c r="I26" t="s">
        <v>118</v>
      </c>
      <c r="J26" t="s">
        <v>69</v>
      </c>
      <c r="K26">
        <v>105</v>
      </c>
      <c r="L26" t="s">
        <v>119</v>
      </c>
      <c r="M26" t="s">
        <v>69</v>
      </c>
      <c r="N26" t="s">
        <v>120</v>
      </c>
      <c r="O26" t="s">
        <v>69</v>
      </c>
      <c r="P26">
        <v>147.131</v>
      </c>
      <c r="Q26" t="s">
        <v>69</v>
      </c>
      <c r="R26" t="s">
        <v>69</v>
      </c>
      <c r="S26">
        <v>107</v>
      </c>
      <c r="T26" t="s">
        <v>72</v>
      </c>
      <c r="U26" t="s">
        <v>69</v>
      </c>
      <c r="V26" t="s">
        <v>71</v>
      </c>
      <c r="W26" t="s">
        <v>69</v>
      </c>
      <c r="X26">
        <v>131.17500000000001</v>
      </c>
      <c r="Y26" t="s">
        <v>69</v>
      </c>
      <c r="Z26" t="s">
        <v>69</v>
      </c>
      <c r="AA26">
        <v>109</v>
      </c>
      <c r="AB26" t="s">
        <v>145</v>
      </c>
      <c r="AC26" t="s">
        <v>69</v>
      </c>
      <c r="AD26" t="s">
        <v>71</v>
      </c>
      <c r="AE26" t="s">
        <v>69</v>
      </c>
      <c r="AF26">
        <v>131.17500000000001</v>
      </c>
      <c r="AG26" t="s">
        <v>69</v>
      </c>
      <c r="AH26" t="s">
        <v>69</v>
      </c>
      <c r="AI26">
        <v>111</v>
      </c>
      <c r="AJ26" t="s">
        <v>146</v>
      </c>
      <c r="AK26" t="s">
        <v>69</v>
      </c>
      <c r="AL26" t="s">
        <v>71</v>
      </c>
      <c r="AM26" t="s">
        <v>69</v>
      </c>
      <c r="AN26">
        <v>115.13200000000001</v>
      </c>
      <c r="AO26" t="s">
        <v>69</v>
      </c>
      <c r="AP26" t="s">
        <v>69</v>
      </c>
      <c r="AQ26">
        <v>113</v>
      </c>
      <c r="AR26" t="s">
        <v>147</v>
      </c>
      <c r="AS26" t="s">
        <v>69</v>
      </c>
      <c r="AT26" t="s">
        <v>148</v>
      </c>
      <c r="AU26" t="s">
        <v>69</v>
      </c>
      <c r="AV26">
        <v>146.14599999999999</v>
      </c>
      <c r="AW26" t="s">
        <v>69</v>
      </c>
      <c r="AX26" t="s">
        <v>69</v>
      </c>
      <c r="AY26">
        <v>122</v>
      </c>
      <c r="AZ26" t="s">
        <v>149</v>
      </c>
      <c r="BA26" t="s">
        <v>69</v>
      </c>
      <c r="BB26" t="s">
        <v>150</v>
      </c>
      <c r="BC26" t="s">
        <v>69</v>
      </c>
      <c r="BD26">
        <v>119.119</v>
      </c>
      <c r="BE26" t="s">
        <v>69</v>
      </c>
      <c r="BF26" t="s">
        <v>69</v>
      </c>
      <c r="BG26">
        <v>124</v>
      </c>
      <c r="BH26" t="s">
        <v>151</v>
      </c>
      <c r="BI26" t="s">
        <v>69</v>
      </c>
      <c r="BJ26" t="s">
        <v>152</v>
      </c>
      <c r="BK26" t="s">
        <v>69</v>
      </c>
      <c r="BL26">
        <v>165.19200000000001</v>
      </c>
      <c r="BM26" t="s">
        <v>69</v>
      </c>
      <c r="BN26" t="s">
        <v>69</v>
      </c>
      <c r="BO26">
        <v>145</v>
      </c>
      <c r="BP26" t="s">
        <v>76</v>
      </c>
      <c r="BQ26" t="s">
        <v>69</v>
      </c>
      <c r="BR26" t="s">
        <v>75</v>
      </c>
      <c r="BS26" t="s">
        <v>69</v>
      </c>
      <c r="BT26">
        <v>146.18899999999999</v>
      </c>
      <c r="BU26" t="s">
        <v>69</v>
      </c>
      <c r="BV26" t="s">
        <v>69</v>
      </c>
      <c r="BW26">
        <v>148</v>
      </c>
      <c r="BX26" t="s">
        <v>73</v>
      </c>
      <c r="BY26" t="s">
        <v>69</v>
      </c>
      <c r="BZ26" t="s">
        <v>71</v>
      </c>
      <c r="CA26" t="s">
        <v>69</v>
      </c>
      <c r="CB26">
        <v>89.093999999999994</v>
      </c>
      <c r="CC26" t="s">
        <v>69</v>
      </c>
      <c r="CD26" t="s">
        <v>69</v>
      </c>
      <c r="CE26">
        <v>151</v>
      </c>
      <c r="CF26" t="s">
        <v>145</v>
      </c>
      <c r="CG26" t="s">
        <v>69</v>
      </c>
      <c r="CH26" t="s">
        <v>71</v>
      </c>
      <c r="CI26" t="s">
        <v>69</v>
      </c>
      <c r="CJ26">
        <v>131.17500000000001</v>
      </c>
      <c r="CK26" t="s">
        <v>69</v>
      </c>
      <c r="CL26" t="s">
        <v>69</v>
      </c>
    </row>
    <row r="27" spans="1:90" x14ac:dyDescent="0.25">
      <c r="A27">
        <v>7</v>
      </c>
      <c r="B27" t="str">
        <f>HYPERLINK("http://www.ncbi.nlm.nih.gov/protein/XP_040604212.1","XP_040604212.1")</f>
        <v>XP_040604212.1</v>
      </c>
      <c r="C27">
        <v>54410</v>
      </c>
      <c r="D27" t="str">
        <f>HYPERLINK("http://www.ncbi.nlm.nih.gov/Taxonomy/Browser/wwwtax.cgi?mode=Info&amp;id=10036&amp;lvl=3&amp;lin=f&amp;keep=1&amp;srchmode=1&amp;unlock","10036")</f>
        <v>10036</v>
      </c>
      <c r="E27" t="s">
        <v>66</v>
      </c>
      <c r="F27" t="str">
        <f>HYPERLINK("http://www.ncbi.nlm.nih.gov/Taxonomy/Browser/wwwtax.cgi?mode=Info&amp;id=10036&amp;lvl=3&amp;lin=f&amp;keep=1&amp;srchmode=1&amp;unlock","Mesocricetus auratus")</f>
        <v>Mesocricetus auratus</v>
      </c>
      <c r="G27" t="s">
        <v>87</v>
      </c>
      <c r="H27" t="str">
        <f>HYPERLINK("http://www.ncbi.nlm.nih.gov/protein/XP_040604212.1","40S ribosomal protein S2")</f>
        <v>40S ribosomal protein S2</v>
      </c>
      <c r="I27" t="s">
        <v>118</v>
      </c>
      <c r="J27" t="s">
        <v>69</v>
      </c>
      <c r="K27">
        <v>105</v>
      </c>
      <c r="L27" t="s">
        <v>119</v>
      </c>
      <c r="M27" t="s">
        <v>69</v>
      </c>
      <c r="N27" t="s">
        <v>120</v>
      </c>
      <c r="O27" t="s">
        <v>69</v>
      </c>
      <c r="P27">
        <v>147.131</v>
      </c>
      <c r="Q27" t="s">
        <v>69</v>
      </c>
      <c r="R27" t="s">
        <v>69</v>
      </c>
      <c r="S27">
        <v>107</v>
      </c>
      <c r="T27" t="s">
        <v>72</v>
      </c>
      <c r="U27" t="s">
        <v>69</v>
      </c>
      <c r="V27" t="s">
        <v>71</v>
      </c>
      <c r="W27" t="s">
        <v>69</v>
      </c>
      <c r="X27">
        <v>131.17500000000001</v>
      </c>
      <c r="Y27" t="s">
        <v>69</v>
      </c>
      <c r="Z27" t="s">
        <v>69</v>
      </c>
      <c r="AA27">
        <v>109</v>
      </c>
      <c r="AB27" t="s">
        <v>145</v>
      </c>
      <c r="AC27" t="s">
        <v>69</v>
      </c>
      <c r="AD27" t="s">
        <v>71</v>
      </c>
      <c r="AE27" t="s">
        <v>69</v>
      </c>
      <c r="AF27">
        <v>131.17500000000001</v>
      </c>
      <c r="AG27" t="s">
        <v>69</v>
      </c>
      <c r="AH27" t="s">
        <v>69</v>
      </c>
      <c r="AI27">
        <v>111</v>
      </c>
      <c r="AJ27" t="s">
        <v>146</v>
      </c>
      <c r="AK27" t="s">
        <v>69</v>
      </c>
      <c r="AL27" t="s">
        <v>71</v>
      </c>
      <c r="AM27" t="s">
        <v>69</v>
      </c>
      <c r="AN27">
        <v>115.13200000000001</v>
      </c>
      <c r="AO27" t="s">
        <v>69</v>
      </c>
      <c r="AP27" t="s">
        <v>69</v>
      </c>
      <c r="AQ27">
        <v>113</v>
      </c>
      <c r="AR27" t="s">
        <v>147</v>
      </c>
      <c r="AS27" t="s">
        <v>69</v>
      </c>
      <c r="AT27" t="s">
        <v>148</v>
      </c>
      <c r="AU27" t="s">
        <v>69</v>
      </c>
      <c r="AV27">
        <v>146.14599999999999</v>
      </c>
      <c r="AW27" t="s">
        <v>69</v>
      </c>
      <c r="AX27" t="s">
        <v>69</v>
      </c>
      <c r="AY27">
        <v>122</v>
      </c>
      <c r="AZ27" t="s">
        <v>149</v>
      </c>
      <c r="BA27" t="s">
        <v>69</v>
      </c>
      <c r="BB27" t="s">
        <v>150</v>
      </c>
      <c r="BC27" t="s">
        <v>69</v>
      </c>
      <c r="BD27">
        <v>119.119</v>
      </c>
      <c r="BE27" t="s">
        <v>69</v>
      </c>
      <c r="BF27" t="s">
        <v>69</v>
      </c>
      <c r="BG27">
        <v>124</v>
      </c>
      <c r="BH27" t="s">
        <v>151</v>
      </c>
      <c r="BI27" t="s">
        <v>69</v>
      </c>
      <c r="BJ27" t="s">
        <v>152</v>
      </c>
      <c r="BK27" t="s">
        <v>69</v>
      </c>
      <c r="BL27">
        <v>165.19200000000001</v>
      </c>
      <c r="BM27" t="s">
        <v>69</v>
      </c>
      <c r="BN27" t="s">
        <v>69</v>
      </c>
      <c r="BO27">
        <v>145</v>
      </c>
      <c r="BP27" t="s">
        <v>76</v>
      </c>
      <c r="BQ27" t="s">
        <v>69</v>
      </c>
      <c r="BR27" t="s">
        <v>75</v>
      </c>
      <c r="BS27" t="s">
        <v>69</v>
      </c>
      <c r="BT27">
        <v>146.18899999999999</v>
      </c>
      <c r="BU27" t="s">
        <v>69</v>
      </c>
      <c r="BV27" t="s">
        <v>69</v>
      </c>
      <c r="BW27">
        <v>148</v>
      </c>
      <c r="BX27" t="s">
        <v>73</v>
      </c>
      <c r="BY27" t="s">
        <v>69</v>
      </c>
      <c r="BZ27" t="s">
        <v>71</v>
      </c>
      <c r="CA27" t="s">
        <v>69</v>
      </c>
      <c r="CB27">
        <v>89.093999999999994</v>
      </c>
      <c r="CC27" t="s">
        <v>69</v>
      </c>
      <c r="CD27" t="s">
        <v>69</v>
      </c>
      <c r="CE27">
        <v>151</v>
      </c>
      <c r="CF27" t="s">
        <v>145</v>
      </c>
      <c r="CG27" t="s">
        <v>69</v>
      </c>
      <c r="CH27" t="s">
        <v>71</v>
      </c>
      <c r="CI27" t="s">
        <v>69</v>
      </c>
      <c r="CJ27">
        <v>131.17500000000001</v>
      </c>
      <c r="CK27" t="s">
        <v>69</v>
      </c>
      <c r="CL27" t="s">
        <v>69</v>
      </c>
    </row>
    <row r="28" spans="1:90" x14ac:dyDescent="0.25">
      <c r="A28">
        <v>7</v>
      </c>
      <c r="B28" t="str">
        <f>HYPERLINK("http://www.ncbi.nlm.nih.gov/protein/CAD7688945.1","CAD7688945.1")</f>
        <v>CAD7688945.1</v>
      </c>
      <c r="C28">
        <v>27271</v>
      </c>
      <c r="D28" t="str">
        <f>HYPERLINK("http://www.ncbi.nlm.nih.gov/Taxonomy/Browser/wwwtax.cgi?mode=Info&amp;id=34880&amp;lvl=3&amp;lin=f&amp;keep=1&amp;srchmode=1&amp;unlock","34880")</f>
        <v>34880</v>
      </c>
      <c r="E28" t="s">
        <v>66</v>
      </c>
      <c r="F28" t="str">
        <f>HYPERLINK("http://www.ncbi.nlm.nih.gov/Taxonomy/Browser/wwwtax.cgi?mode=Info&amp;id=34880&amp;lvl=3&amp;lin=f&amp;keep=1&amp;srchmode=1&amp;unlock","Nyctereutes procyonoides")</f>
        <v>Nyctereutes procyonoides</v>
      </c>
      <c r="G28" t="s">
        <v>92</v>
      </c>
      <c r="H28" t="str">
        <f>HYPERLINK("http://www.ncbi.nlm.nih.gov/protein/CAD7688945.1","unnamed protein product")</f>
        <v>unnamed protein product</v>
      </c>
      <c r="I28" t="s">
        <v>118</v>
      </c>
      <c r="J28" t="s">
        <v>69</v>
      </c>
      <c r="K28">
        <v>108</v>
      </c>
      <c r="L28" t="s">
        <v>119</v>
      </c>
      <c r="M28" t="s">
        <v>69</v>
      </c>
      <c r="N28" t="s">
        <v>120</v>
      </c>
      <c r="O28" t="s">
        <v>69</v>
      </c>
      <c r="P28">
        <v>147.131</v>
      </c>
      <c r="Q28" t="s">
        <v>69</v>
      </c>
      <c r="R28" t="s">
        <v>69</v>
      </c>
      <c r="S28">
        <v>110</v>
      </c>
      <c r="T28" t="s">
        <v>72</v>
      </c>
      <c r="U28" t="s">
        <v>69</v>
      </c>
      <c r="V28" t="s">
        <v>71</v>
      </c>
      <c r="W28" t="s">
        <v>69</v>
      </c>
      <c r="X28">
        <v>131.17500000000001</v>
      </c>
      <c r="Y28" t="s">
        <v>69</v>
      </c>
      <c r="Z28" t="s">
        <v>69</v>
      </c>
      <c r="AA28">
        <v>112</v>
      </c>
      <c r="AB28" t="s">
        <v>145</v>
      </c>
      <c r="AC28" t="s">
        <v>69</v>
      </c>
      <c r="AD28" t="s">
        <v>71</v>
      </c>
      <c r="AE28" t="s">
        <v>69</v>
      </c>
      <c r="AF28">
        <v>131.17500000000001</v>
      </c>
      <c r="AG28" t="s">
        <v>69</v>
      </c>
      <c r="AH28" t="s">
        <v>69</v>
      </c>
      <c r="AI28">
        <v>114</v>
      </c>
      <c r="AJ28" t="s">
        <v>146</v>
      </c>
      <c r="AK28" t="s">
        <v>69</v>
      </c>
      <c r="AL28" t="s">
        <v>71</v>
      </c>
      <c r="AM28" t="s">
        <v>69</v>
      </c>
      <c r="AN28">
        <v>115.13200000000001</v>
      </c>
      <c r="AO28" t="s">
        <v>69</v>
      </c>
      <c r="AP28" t="s">
        <v>69</v>
      </c>
      <c r="AQ28">
        <v>116</v>
      </c>
      <c r="AR28" t="s">
        <v>147</v>
      </c>
      <c r="AS28" t="s">
        <v>69</v>
      </c>
      <c r="AT28" t="s">
        <v>148</v>
      </c>
      <c r="AU28" t="s">
        <v>69</v>
      </c>
      <c r="AV28">
        <v>146.14599999999999</v>
      </c>
      <c r="AW28" t="s">
        <v>69</v>
      </c>
      <c r="AX28" t="s">
        <v>69</v>
      </c>
      <c r="AY28">
        <v>125</v>
      </c>
      <c r="AZ28" t="s">
        <v>149</v>
      </c>
      <c r="BA28" t="s">
        <v>69</v>
      </c>
      <c r="BB28" t="s">
        <v>150</v>
      </c>
      <c r="BC28" t="s">
        <v>69</v>
      </c>
      <c r="BD28">
        <v>119.119</v>
      </c>
      <c r="BE28" t="s">
        <v>69</v>
      </c>
      <c r="BF28" t="s">
        <v>69</v>
      </c>
      <c r="BG28">
        <v>127</v>
      </c>
      <c r="BH28" t="s">
        <v>151</v>
      </c>
      <c r="BI28" t="s">
        <v>69</v>
      </c>
      <c r="BJ28" t="s">
        <v>152</v>
      </c>
      <c r="BK28" t="s">
        <v>69</v>
      </c>
      <c r="BL28">
        <v>165.19200000000001</v>
      </c>
      <c r="BM28" t="s">
        <v>69</v>
      </c>
      <c r="BN28" t="s">
        <v>69</v>
      </c>
      <c r="BO28">
        <v>148</v>
      </c>
      <c r="BP28" t="s">
        <v>76</v>
      </c>
      <c r="BQ28" t="s">
        <v>69</v>
      </c>
      <c r="BR28" t="s">
        <v>75</v>
      </c>
      <c r="BS28" t="s">
        <v>69</v>
      </c>
      <c r="BT28">
        <v>146.18899999999999</v>
      </c>
      <c r="BU28" t="s">
        <v>69</v>
      </c>
      <c r="BV28" t="s">
        <v>69</v>
      </c>
      <c r="BW28">
        <v>151</v>
      </c>
      <c r="BX28" t="s">
        <v>73</v>
      </c>
      <c r="BY28" t="s">
        <v>69</v>
      </c>
      <c r="BZ28" t="s">
        <v>71</v>
      </c>
      <c r="CA28" t="s">
        <v>69</v>
      </c>
      <c r="CB28">
        <v>89.093999999999994</v>
      </c>
      <c r="CC28" t="s">
        <v>69</v>
      </c>
      <c r="CD28" t="s">
        <v>69</v>
      </c>
      <c r="CE28">
        <v>154</v>
      </c>
      <c r="CF28" t="s">
        <v>145</v>
      </c>
      <c r="CG28" t="s">
        <v>69</v>
      </c>
      <c r="CH28" t="s">
        <v>71</v>
      </c>
      <c r="CI28" t="s">
        <v>69</v>
      </c>
      <c r="CJ28">
        <v>131.17500000000001</v>
      </c>
      <c r="CK28" t="s">
        <v>69</v>
      </c>
      <c r="CL28" t="s">
        <v>69</v>
      </c>
    </row>
    <row r="29" spans="1:90" x14ac:dyDescent="0.25">
      <c r="A29">
        <v>7</v>
      </c>
      <c r="B29" t="str">
        <f>HYPERLINK("http://www.ncbi.nlm.nih.gov/protein/XP_025840693.1","XP_025840693.1")</f>
        <v>XP_025840693.1</v>
      </c>
      <c r="C29">
        <v>38435</v>
      </c>
      <c r="D29" t="str">
        <f>HYPERLINK("http://www.ncbi.nlm.nih.gov/Taxonomy/Browser/wwwtax.cgi?mode=Info&amp;id=9627&amp;lvl=3&amp;lin=f&amp;keep=1&amp;srchmode=1&amp;unlock","9627")</f>
        <v>9627</v>
      </c>
      <c r="E29" t="s">
        <v>66</v>
      </c>
      <c r="F29" t="str">
        <f>HYPERLINK("http://www.ncbi.nlm.nih.gov/Taxonomy/Browser/wwwtax.cgi?mode=Info&amp;id=9627&amp;lvl=3&amp;lin=f&amp;keep=1&amp;srchmode=1&amp;unlock","Vulpes vulpes")</f>
        <v>Vulpes vulpes</v>
      </c>
      <c r="G29" t="s">
        <v>95</v>
      </c>
      <c r="H29" t="str">
        <f>HYPERLINK("http://www.ncbi.nlm.nih.gov/protein/XP_025840693.1","40S ribosomal protein S2")</f>
        <v>40S ribosomal protein S2</v>
      </c>
      <c r="I29" t="s">
        <v>118</v>
      </c>
      <c r="J29" t="s">
        <v>69</v>
      </c>
      <c r="K29">
        <v>87</v>
      </c>
      <c r="L29" t="s">
        <v>119</v>
      </c>
      <c r="M29" t="s">
        <v>69</v>
      </c>
      <c r="N29" t="s">
        <v>120</v>
      </c>
      <c r="O29" t="s">
        <v>69</v>
      </c>
      <c r="P29">
        <v>147.131</v>
      </c>
      <c r="Q29" t="s">
        <v>69</v>
      </c>
      <c r="R29" t="s">
        <v>69</v>
      </c>
      <c r="S29">
        <v>89</v>
      </c>
      <c r="T29" t="s">
        <v>72</v>
      </c>
      <c r="U29" t="s">
        <v>69</v>
      </c>
      <c r="V29" t="s">
        <v>71</v>
      </c>
      <c r="W29" t="s">
        <v>69</v>
      </c>
      <c r="X29">
        <v>131.17500000000001</v>
      </c>
      <c r="Y29" t="s">
        <v>69</v>
      </c>
      <c r="Z29" t="s">
        <v>69</v>
      </c>
      <c r="AA29">
        <v>91</v>
      </c>
      <c r="AB29" t="s">
        <v>145</v>
      </c>
      <c r="AC29" t="s">
        <v>69</v>
      </c>
      <c r="AD29" t="s">
        <v>71</v>
      </c>
      <c r="AE29" t="s">
        <v>69</v>
      </c>
      <c r="AF29">
        <v>131.17500000000001</v>
      </c>
      <c r="AG29" t="s">
        <v>69</v>
      </c>
      <c r="AH29" t="s">
        <v>69</v>
      </c>
      <c r="AI29">
        <v>93</v>
      </c>
      <c r="AJ29" t="s">
        <v>146</v>
      </c>
      <c r="AK29" t="s">
        <v>69</v>
      </c>
      <c r="AL29" t="s">
        <v>71</v>
      </c>
      <c r="AM29" t="s">
        <v>69</v>
      </c>
      <c r="AN29">
        <v>115.13200000000001</v>
      </c>
      <c r="AO29" t="s">
        <v>69</v>
      </c>
      <c r="AP29" t="s">
        <v>69</v>
      </c>
      <c r="AQ29">
        <v>95</v>
      </c>
      <c r="AR29" t="s">
        <v>147</v>
      </c>
      <c r="AS29" t="s">
        <v>69</v>
      </c>
      <c r="AT29" t="s">
        <v>148</v>
      </c>
      <c r="AU29" t="s">
        <v>69</v>
      </c>
      <c r="AV29">
        <v>146.14599999999999</v>
      </c>
      <c r="AW29" t="s">
        <v>69</v>
      </c>
      <c r="AX29" t="s">
        <v>69</v>
      </c>
      <c r="AY29">
        <v>104</v>
      </c>
      <c r="AZ29" t="s">
        <v>149</v>
      </c>
      <c r="BA29" t="s">
        <v>69</v>
      </c>
      <c r="BB29" t="s">
        <v>150</v>
      </c>
      <c r="BC29" t="s">
        <v>69</v>
      </c>
      <c r="BD29">
        <v>119.119</v>
      </c>
      <c r="BE29" t="s">
        <v>69</v>
      </c>
      <c r="BF29" t="s">
        <v>69</v>
      </c>
      <c r="BG29">
        <v>106</v>
      </c>
      <c r="BH29" t="s">
        <v>151</v>
      </c>
      <c r="BI29" t="s">
        <v>69</v>
      </c>
      <c r="BJ29" t="s">
        <v>152</v>
      </c>
      <c r="BK29" t="s">
        <v>69</v>
      </c>
      <c r="BL29">
        <v>165.19200000000001</v>
      </c>
      <c r="BM29" t="s">
        <v>69</v>
      </c>
      <c r="BN29" t="s">
        <v>69</v>
      </c>
      <c r="BO29">
        <v>127</v>
      </c>
      <c r="BP29" t="s">
        <v>76</v>
      </c>
      <c r="BQ29" t="s">
        <v>69</v>
      </c>
      <c r="BR29" t="s">
        <v>75</v>
      </c>
      <c r="BS29" t="s">
        <v>69</v>
      </c>
      <c r="BT29">
        <v>146.18899999999999</v>
      </c>
      <c r="BU29" t="s">
        <v>69</v>
      </c>
      <c r="BV29" t="s">
        <v>69</v>
      </c>
      <c r="BW29">
        <v>130</v>
      </c>
      <c r="BX29" t="s">
        <v>73</v>
      </c>
      <c r="BY29" t="s">
        <v>69</v>
      </c>
      <c r="BZ29" t="s">
        <v>71</v>
      </c>
      <c r="CA29" t="s">
        <v>69</v>
      </c>
      <c r="CB29">
        <v>89.093999999999994</v>
      </c>
      <c r="CC29" t="s">
        <v>69</v>
      </c>
      <c r="CD29" t="s">
        <v>69</v>
      </c>
      <c r="CE29">
        <v>133</v>
      </c>
      <c r="CF29" t="s">
        <v>145</v>
      </c>
      <c r="CG29" t="s">
        <v>69</v>
      </c>
      <c r="CH29" t="s">
        <v>71</v>
      </c>
      <c r="CI29" t="s">
        <v>69</v>
      </c>
      <c r="CJ29">
        <v>131.17500000000001</v>
      </c>
      <c r="CK29" t="s">
        <v>69</v>
      </c>
      <c r="CL29" t="s">
        <v>69</v>
      </c>
    </row>
    <row r="30" spans="1:90" x14ac:dyDescent="0.25">
      <c r="A30">
        <v>7</v>
      </c>
      <c r="B30" t="str">
        <f>HYPERLINK("http://www.ncbi.nlm.nih.gov/protein/XP_025777621.1","XP_025777621.1")</f>
        <v>XP_025777621.1</v>
      </c>
      <c r="C30">
        <v>23623</v>
      </c>
      <c r="D30" t="str">
        <f>HYPERLINK("http://www.ncbi.nlm.nih.gov/Taxonomy/Browser/wwwtax.cgi?mode=Info&amp;id=9696&amp;lvl=3&amp;lin=f&amp;keep=1&amp;srchmode=1&amp;unlock","9696")</f>
        <v>9696</v>
      </c>
      <c r="E30" t="s">
        <v>66</v>
      </c>
      <c r="F30" t="str">
        <f>HYPERLINK("http://www.ncbi.nlm.nih.gov/Taxonomy/Browser/wwwtax.cgi?mode=Info&amp;id=9696&amp;lvl=3&amp;lin=f&amp;keep=1&amp;srchmode=1&amp;unlock","Puma concolor")</f>
        <v>Puma concolor</v>
      </c>
      <c r="G30" t="s">
        <v>91</v>
      </c>
      <c r="H30" t="str">
        <f>HYPERLINK("http://www.ncbi.nlm.nih.gov/protein/XP_025777621.1","LOW QUALITY PROTEIN: 40S ribosomal protein S2-like")</f>
        <v>LOW QUALITY PROTEIN: 40S ribosomal protein S2-like</v>
      </c>
      <c r="I30" t="s">
        <v>118</v>
      </c>
      <c r="J30" t="s">
        <v>69</v>
      </c>
      <c r="K30">
        <v>109</v>
      </c>
      <c r="L30" t="s">
        <v>119</v>
      </c>
      <c r="M30" t="s">
        <v>69</v>
      </c>
      <c r="N30" t="s">
        <v>120</v>
      </c>
      <c r="O30" t="s">
        <v>69</v>
      </c>
      <c r="P30">
        <v>147.131</v>
      </c>
      <c r="Q30" t="s">
        <v>69</v>
      </c>
      <c r="R30" t="s">
        <v>69</v>
      </c>
      <c r="S30">
        <v>111</v>
      </c>
      <c r="T30" t="s">
        <v>72</v>
      </c>
      <c r="U30" t="s">
        <v>69</v>
      </c>
      <c r="V30" t="s">
        <v>71</v>
      </c>
      <c r="W30" t="s">
        <v>69</v>
      </c>
      <c r="X30">
        <v>131.17500000000001</v>
      </c>
      <c r="Y30" t="s">
        <v>69</v>
      </c>
      <c r="Z30" t="s">
        <v>69</v>
      </c>
      <c r="AA30">
        <v>113</v>
      </c>
      <c r="AB30" t="s">
        <v>145</v>
      </c>
      <c r="AC30" t="s">
        <v>69</v>
      </c>
      <c r="AD30" t="s">
        <v>71</v>
      </c>
      <c r="AE30" t="s">
        <v>69</v>
      </c>
      <c r="AF30">
        <v>131.17500000000001</v>
      </c>
      <c r="AG30" t="s">
        <v>69</v>
      </c>
      <c r="AH30" t="s">
        <v>69</v>
      </c>
      <c r="AI30">
        <v>115</v>
      </c>
      <c r="AJ30" t="s">
        <v>146</v>
      </c>
      <c r="AK30" t="s">
        <v>69</v>
      </c>
      <c r="AL30" t="s">
        <v>71</v>
      </c>
      <c r="AM30" t="s">
        <v>69</v>
      </c>
      <c r="AN30">
        <v>115.13200000000001</v>
      </c>
      <c r="AO30" t="s">
        <v>69</v>
      </c>
      <c r="AP30" t="s">
        <v>69</v>
      </c>
      <c r="AQ30">
        <v>117</v>
      </c>
      <c r="AR30" t="s">
        <v>147</v>
      </c>
      <c r="AS30" t="s">
        <v>69</v>
      </c>
      <c r="AT30" t="s">
        <v>148</v>
      </c>
      <c r="AU30" t="s">
        <v>69</v>
      </c>
      <c r="AV30">
        <v>146.14599999999999</v>
      </c>
      <c r="AW30" t="s">
        <v>69</v>
      </c>
      <c r="AX30" t="s">
        <v>69</v>
      </c>
      <c r="AY30">
        <v>126</v>
      </c>
      <c r="AZ30" t="s">
        <v>149</v>
      </c>
      <c r="BA30" t="s">
        <v>69</v>
      </c>
      <c r="BB30" t="s">
        <v>150</v>
      </c>
      <c r="BC30" t="s">
        <v>69</v>
      </c>
      <c r="BD30">
        <v>119.119</v>
      </c>
      <c r="BE30" t="s">
        <v>69</v>
      </c>
      <c r="BF30" t="s">
        <v>69</v>
      </c>
      <c r="BG30">
        <v>128</v>
      </c>
      <c r="BH30" t="s">
        <v>151</v>
      </c>
      <c r="BI30" t="s">
        <v>69</v>
      </c>
      <c r="BJ30" t="s">
        <v>152</v>
      </c>
      <c r="BK30" t="s">
        <v>69</v>
      </c>
      <c r="BL30">
        <v>165.19200000000001</v>
      </c>
      <c r="BM30" t="s">
        <v>69</v>
      </c>
      <c r="BN30" t="s">
        <v>69</v>
      </c>
      <c r="BO30">
        <v>149</v>
      </c>
      <c r="BP30" t="s">
        <v>76</v>
      </c>
      <c r="BQ30" t="s">
        <v>69</v>
      </c>
      <c r="BR30" t="s">
        <v>75</v>
      </c>
      <c r="BS30" t="s">
        <v>69</v>
      </c>
      <c r="BT30">
        <v>146.18899999999999</v>
      </c>
      <c r="BU30" t="s">
        <v>69</v>
      </c>
      <c r="BV30" t="s">
        <v>69</v>
      </c>
      <c r="BW30">
        <v>152</v>
      </c>
      <c r="BX30" t="s">
        <v>73</v>
      </c>
      <c r="BY30" t="s">
        <v>69</v>
      </c>
      <c r="BZ30" t="s">
        <v>71</v>
      </c>
      <c r="CA30" t="s">
        <v>69</v>
      </c>
      <c r="CB30">
        <v>89.093999999999994</v>
      </c>
      <c r="CC30" t="s">
        <v>69</v>
      </c>
      <c r="CD30" t="s">
        <v>69</v>
      </c>
      <c r="CE30">
        <v>155</v>
      </c>
      <c r="CF30" t="s">
        <v>145</v>
      </c>
      <c r="CG30" t="s">
        <v>69</v>
      </c>
      <c r="CH30" t="s">
        <v>71</v>
      </c>
      <c r="CI30" t="s">
        <v>69</v>
      </c>
      <c r="CJ30">
        <v>131.17500000000001</v>
      </c>
      <c r="CK30" t="s">
        <v>69</v>
      </c>
      <c r="CL30" t="s">
        <v>69</v>
      </c>
    </row>
    <row r="31" spans="1:90" x14ac:dyDescent="0.25">
      <c r="A31">
        <v>7</v>
      </c>
      <c r="B31" t="str">
        <f>HYPERLINK("http://www.ncbi.nlm.nih.gov/protein/XP_025060437.1","XP_025060437.1")</f>
        <v>XP_025060437.1</v>
      </c>
      <c r="C31">
        <v>43404</v>
      </c>
      <c r="D31" t="str">
        <f>HYPERLINK("http://www.ncbi.nlm.nih.gov/Taxonomy/Browser/wwwtax.cgi?mode=Info&amp;id=38654&amp;lvl=3&amp;lin=f&amp;keep=1&amp;srchmode=1&amp;unlock","38654")</f>
        <v>38654</v>
      </c>
      <c r="E31" t="s">
        <v>109</v>
      </c>
      <c r="F31" t="str">
        <f>HYPERLINK("http://www.ncbi.nlm.nih.gov/Taxonomy/Browser/wwwtax.cgi?mode=Info&amp;id=38654&amp;lvl=3&amp;lin=f&amp;keep=1&amp;srchmode=1&amp;unlock","Alligator sinensis")</f>
        <v>Alligator sinensis</v>
      </c>
      <c r="G31" t="s">
        <v>110</v>
      </c>
      <c r="H31" t="str">
        <f>HYPERLINK("http://www.ncbi.nlm.nih.gov/protein/XP_025060437.1","40S ribosomal protein S2")</f>
        <v>40S ribosomal protein S2</v>
      </c>
      <c r="I31" t="s">
        <v>118</v>
      </c>
      <c r="J31" t="s">
        <v>69</v>
      </c>
      <c r="K31">
        <v>51</v>
      </c>
      <c r="L31" t="s">
        <v>119</v>
      </c>
      <c r="M31" t="s">
        <v>69</v>
      </c>
      <c r="N31" t="s">
        <v>120</v>
      </c>
      <c r="O31" t="s">
        <v>69</v>
      </c>
      <c r="P31">
        <v>147.131</v>
      </c>
      <c r="Q31" t="s">
        <v>69</v>
      </c>
      <c r="R31" t="s">
        <v>69</v>
      </c>
      <c r="S31">
        <v>53</v>
      </c>
      <c r="T31" t="s">
        <v>72</v>
      </c>
      <c r="U31" t="s">
        <v>69</v>
      </c>
      <c r="V31" t="s">
        <v>71</v>
      </c>
      <c r="W31" t="s">
        <v>69</v>
      </c>
      <c r="X31">
        <v>131.17500000000001</v>
      </c>
      <c r="Y31" t="s">
        <v>69</v>
      </c>
      <c r="Z31" t="s">
        <v>69</v>
      </c>
      <c r="AA31">
        <v>55</v>
      </c>
      <c r="AB31" t="s">
        <v>145</v>
      </c>
      <c r="AC31" t="s">
        <v>69</v>
      </c>
      <c r="AD31" t="s">
        <v>71</v>
      </c>
      <c r="AE31" t="s">
        <v>69</v>
      </c>
      <c r="AF31">
        <v>131.17500000000001</v>
      </c>
      <c r="AG31" t="s">
        <v>69</v>
      </c>
      <c r="AH31" t="s">
        <v>69</v>
      </c>
      <c r="AI31">
        <v>57</v>
      </c>
      <c r="AJ31" t="s">
        <v>146</v>
      </c>
      <c r="AK31" t="s">
        <v>69</v>
      </c>
      <c r="AL31" t="s">
        <v>71</v>
      </c>
      <c r="AM31" t="s">
        <v>69</v>
      </c>
      <c r="AN31">
        <v>115.13200000000001</v>
      </c>
      <c r="AO31" t="s">
        <v>69</v>
      </c>
      <c r="AP31" t="s">
        <v>69</v>
      </c>
      <c r="AQ31">
        <v>59</v>
      </c>
      <c r="AR31" t="s">
        <v>147</v>
      </c>
      <c r="AS31" t="s">
        <v>69</v>
      </c>
      <c r="AT31" t="s">
        <v>148</v>
      </c>
      <c r="AU31" t="s">
        <v>69</v>
      </c>
      <c r="AV31">
        <v>146.14599999999999</v>
      </c>
      <c r="AW31" t="s">
        <v>69</v>
      </c>
      <c r="AX31" t="s">
        <v>69</v>
      </c>
      <c r="AY31">
        <v>68</v>
      </c>
      <c r="AZ31" t="s">
        <v>149</v>
      </c>
      <c r="BA31" t="s">
        <v>69</v>
      </c>
      <c r="BB31" t="s">
        <v>150</v>
      </c>
      <c r="BC31" t="s">
        <v>69</v>
      </c>
      <c r="BD31">
        <v>119.119</v>
      </c>
      <c r="BE31" t="s">
        <v>69</v>
      </c>
      <c r="BF31" t="s">
        <v>69</v>
      </c>
      <c r="BG31">
        <v>70</v>
      </c>
      <c r="BH31" t="s">
        <v>151</v>
      </c>
      <c r="BI31" t="s">
        <v>69</v>
      </c>
      <c r="BJ31" t="s">
        <v>152</v>
      </c>
      <c r="BK31" t="s">
        <v>69</v>
      </c>
      <c r="BL31">
        <v>165.19200000000001</v>
      </c>
      <c r="BM31" t="s">
        <v>69</v>
      </c>
      <c r="BN31" t="s">
        <v>69</v>
      </c>
      <c r="BO31">
        <v>91</v>
      </c>
      <c r="BP31" t="s">
        <v>76</v>
      </c>
      <c r="BQ31" t="s">
        <v>69</v>
      </c>
      <c r="BR31" t="s">
        <v>75</v>
      </c>
      <c r="BS31" t="s">
        <v>69</v>
      </c>
      <c r="BT31">
        <v>146.18899999999999</v>
      </c>
      <c r="BU31" t="s">
        <v>69</v>
      </c>
      <c r="BV31" t="s">
        <v>69</v>
      </c>
      <c r="BW31">
        <v>94</v>
      </c>
      <c r="BX31" t="s">
        <v>73</v>
      </c>
      <c r="BY31" t="s">
        <v>69</v>
      </c>
      <c r="BZ31" t="s">
        <v>71</v>
      </c>
      <c r="CA31" t="s">
        <v>69</v>
      </c>
      <c r="CB31">
        <v>89.093999999999994</v>
      </c>
      <c r="CC31" t="s">
        <v>69</v>
      </c>
      <c r="CD31" t="s">
        <v>69</v>
      </c>
      <c r="CE31">
        <v>97</v>
      </c>
      <c r="CF31" t="s">
        <v>145</v>
      </c>
      <c r="CG31" t="s">
        <v>69</v>
      </c>
      <c r="CH31" t="s">
        <v>71</v>
      </c>
      <c r="CI31" t="s">
        <v>69</v>
      </c>
      <c r="CJ31">
        <v>131.17500000000001</v>
      </c>
      <c r="CK31" t="s">
        <v>69</v>
      </c>
      <c r="CL31" t="s">
        <v>69</v>
      </c>
    </row>
    <row r="32" spans="1:90" x14ac:dyDescent="0.25">
      <c r="A32">
        <v>7</v>
      </c>
      <c r="B32" t="str">
        <f>HYPERLINK("http://www.ncbi.nlm.nih.gov/protein/XP_039542575.1","XP_039542575.1")</f>
        <v>XP_039542575.1</v>
      </c>
      <c r="C32">
        <v>96114</v>
      </c>
      <c r="D32" t="str">
        <f>HYPERLINK("http://www.ncbi.nlm.nih.gov/Taxonomy/Browser/wwwtax.cgi?mode=Info&amp;id=90988&amp;lvl=3&amp;lin=f&amp;keep=1&amp;srchmode=1&amp;unlock","90988")</f>
        <v>90988</v>
      </c>
      <c r="E32" t="s">
        <v>113</v>
      </c>
      <c r="F32" t="str">
        <f>HYPERLINK("http://www.ncbi.nlm.nih.gov/Taxonomy/Browser/wwwtax.cgi?mode=Info&amp;id=90988&amp;lvl=3&amp;lin=f&amp;keep=1&amp;srchmode=1&amp;unlock","Pimephales promelas")</f>
        <v>Pimephales promelas</v>
      </c>
      <c r="G32" t="s">
        <v>114</v>
      </c>
      <c r="H32" t="str">
        <f>HYPERLINK("http://www.ncbi.nlm.nih.gov/protein/XP_039542575.1","40S ribosomal protein S2")</f>
        <v>40S ribosomal protein S2</v>
      </c>
      <c r="I32" t="s">
        <v>118</v>
      </c>
      <c r="J32" t="s">
        <v>69</v>
      </c>
      <c r="K32">
        <v>91</v>
      </c>
      <c r="L32" t="s">
        <v>119</v>
      </c>
      <c r="M32" t="s">
        <v>69</v>
      </c>
      <c r="N32" t="s">
        <v>120</v>
      </c>
      <c r="O32" t="s">
        <v>69</v>
      </c>
      <c r="P32">
        <v>147.131</v>
      </c>
      <c r="Q32" t="s">
        <v>69</v>
      </c>
      <c r="R32" t="s">
        <v>69</v>
      </c>
      <c r="S32">
        <v>93</v>
      </c>
      <c r="T32" t="s">
        <v>72</v>
      </c>
      <c r="U32" t="s">
        <v>69</v>
      </c>
      <c r="V32" t="s">
        <v>71</v>
      </c>
      <c r="W32" t="s">
        <v>69</v>
      </c>
      <c r="X32">
        <v>131.17500000000001</v>
      </c>
      <c r="Y32" t="s">
        <v>69</v>
      </c>
      <c r="Z32" t="s">
        <v>69</v>
      </c>
      <c r="AA32">
        <v>95</v>
      </c>
      <c r="AB32" t="s">
        <v>145</v>
      </c>
      <c r="AC32" t="s">
        <v>69</v>
      </c>
      <c r="AD32" t="s">
        <v>71</v>
      </c>
      <c r="AE32" t="s">
        <v>69</v>
      </c>
      <c r="AF32">
        <v>131.17500000000001</v>
      </c>
      <c r="AG32" t="s">
        <v>69</v>
      </c>
      <c r="AH32" t="s">
        <v>69</v>
      </c>
      <c r="AI32">
        <v>97</v>
      </c>
      <c r="AJ32" t="s">
        <v>146</v>
      </c>
      <c r="AK32" t="s">
        <v>69</v>
      </c>
      <c r="AL32" t="s">
        <v>71</v>
      </c>
      <c r="AM32" t="s">
        <v>69</v>
      </c>
      <c r="AN32">
        <v>115.13200000000001</v>
      </c>
      <c r="AO32" t="s">
        <v>69</v>
      </c>
      <c r="AP32" t="s">
        <v>69</v>
      </c>
      <c r="AQ32">
        <v>99</v>
      </c>
      <c r="AR32" t="s">
        <v>147</v>
      </c>
      <c r="AS32" t="s">
        <v>69</v>
      </c>
      <c r="AT32" t="s">
        <v>148</v>
      </c>
      <c r="AU32" t="s">
        <v>69</v>
      </c>
      <c r="AV32">
        <v>146.14599999999999</v>
      </c>
      <c r="AW32" t="s">
        <v>69</v>
      </c>
      <c r="AX32" t="s">
        <v>69</v>
      </c>
      <c r="AY32">
        <v>108</v>
      </c>
      <c r="AZ32" t="s">
        <v>149</v>
      </c>
      <c r="BA32" t="s">
        <v>69</v>
      </c>
      <c r="BB32" t="s">
        <v>150</v>
      </c>
      <c r="BC32" t="s">
        <v>69</v>
      </c>
      <c r="BD32">
        <v>119.119</v>
      </c>
      <c r="BE32" t="s">
        <v>69</v>
      </c>
      <c r="BF32" t="s">
        <v>69</v>
      </c>
      <c r="BG32">
        <v>110</v>
      </c>
      <c r="BH32" t="s">
        <v>151</v>
      </c>
      <c r="BI32" t="s">
        <v>69</v>
      </c>
      <c r="BJ32" t="s">
        <v>152</v>
      </c>
      <c r="BK32" t="s">
        <v>69</v>
      </c>
      <c r="BL32">
        <v>165.19200000000001</v>
      </c>
      <c r="BM32" t="s">
        <v>69</v>
      </c>
      <c r="BN32" t="s">
        <v>69</v>
      </c>
      <c r="BO32">
        <v>131</v>
      </c>
      <c r="BP32" t="s">
        <v>76</v>
      </c>
      <c r="BQ32" t="s">
        <v>69</v>
      </c>
      <c r="BR32" t="s">
        <v>75</v>
      </c>
      <c r="BS32" t="s">
        <v>69</v>
      </c>
      <c r="BT32">
        <v>146.18899999999999</v>
      </c>
      <c r="BU32" t="s">
        <v>69</v>
      </c>
      <c r="BV32" t="s">
        <v>69</v>
      </c>
      <c r="BW32">
        <v>134</v>
      </c>
      <c r="BX32" t="s">
        <v>73</v>
      </c>
      <c r="BY32" t="s">
        <v>69</v>
      </c>
      <c r="BZ32" t="s">
        <v>71</v>
      </c>
      <c r="CA32" t="s">
        <v>69</v>
      </c>
      <c r="CB32">
        <v>89.093999999999994</v>
      </c>
      <c r="CC32" t="s">
        <v>69</v>
      </c>
      <c r="CD32" t="s">
        <v>69</v>
      </c>
      <c r="CE32">
        <v>137</v>
      </c>
      <c r="CF32" t="s">
        <v>145</v>
      </c>
      <c r="CG32" t="s">
        <v>69</v>
      </c>
      <c r="CH32" t="s">
        <v>71</v>
      </c>
      <c r="CI32" t="s">
        <v>69</v>
      </c>
      <c r="CJ32">
        <v>131.17500000000001</v>
      </c>
      <c r="CK32" t="s">
        <v>69</v>
      </c>
      <c r="CL32" t="s">
        <v>69</v>
      </c>
    </row>
    <row r="33" spans="1:90" x14ac:dyDescent="0.25">
      <c r="A33">
        <v>7</v>
      </c>
      <c r="B33" t="str">
        <f>HYPERLINK("http://www.ncbi.nlm.nih.gov/protein/ELW71250.1","ELW71250.1")</f>
        <v>ELW71250.1</v>
      </c>
      <c r="C33">
        <v>59507</v>
      </c>
      <c r="D33" t="str">
        <f>HYPERLINK("http://www.ncbi.nlm.nih.gov/Taxonomy/Browser/wwwtax.cgi?mode=Info&amp;id=246437&amp;lvl=3&amp;lin=f&amp;keep=1&amp;srchmode=1&amp;unlock","246437")</f>
        <v>246437</v>
      </c>
      <c r="E33" t="s">
        <v>66</v>
      </c>
      <c r="F33" t="str">
        <f>HYPERLINK("http://www.ncbi.nlm.nih.gov/Taxonomy/Browser/wwwtax.cgi?mode=Info&amp;id=246437&amp;lvl=3&amp;lin=f&amp;keep=1&amp;srchmode=1&amp;unlock","Tupaia chinensis")</f>
        <v>Tupaia chinensis</v>
      </c>
      <c r="G33" t="s">
        <v>97</v>
      </c>
      <c r="H33" t="str">
        <f>HYPERLINK("http://www.ncbi.nlm.nih.gov/protein/ELW71250.1","40S ribosomal protein S2")</f>
        <v>40S ribosomal protein S2</v>
      </c>
      <c r="I33" t="s">
        <v>118</v>
      </c>
      <c r="J33" t="s">
        <v>69</v>
      </c>
      <c r="K33">
        <v>71</v>
      </c>
      <c r="L33" t="s">
        <v>119</v>
      </c>
      <c r="M33" t="s">
        <v>69</v>
      </c>
      <c r="N33" t="s">
        <v>120</v>
      </c>
      <c r="O33" t="s">
        <v>69</v>
      </c>
      <c r="P33">
        <v>147.131</v>
      </c>
      <c r="Q33" t="s">
        <v>69</v>
      </c>
      <c r="R33" t="s">
        <v>69</v>
      </c>
      <c r="S33">
        <v>73</v>
      </c>
      <c r="T33" t="s">
        <v>72</v>
      </c>
      <c r="U33" t="s">
        <v>69</v>
      </c>
      <c r="V33" t="s">
        <v>71</v>
      </c>
      <c r="W33" t="s">
        <v>69</v>
      </c>
      <c r="X33">
        <v>131.17500000000001</v>
      </c>
      <c r="Y33" t="s">
        <v>69</v>
      </c>
      <c r="Z33" t="s">
        <v>69</v>
      </c>
      <c r="AA33">
        <v>75</v>
      </c>
      <c r="AB33" t="s">
        <v>149</v>
      </c>
      <c r="AC33" t="s">
        <v>153</v>
      </c>
      <c r="AD33" t="s">
        <v>150</v>
      </c>
      <c r="AE33" t="s">
        <v>153</v>
      </c>
      <c r="AF33">
        <v>119.119</v>
      </c>
      <c r="AG33" t="s">
        <v>69</v>
      </c>
      <c r="AH33" t="s">
        <v>69</v>
      </c>
      <c r="AI33">
        <v>77</v>
      </c>
      <c r="AJ33" t="s">
        <v>146</v>
      </c>
      <c r="AK33" t="s">
        <v>69</v>
      </c>
      <c r="AL33" t="s">
        <v>71</v>
      </c>
      <c r="AM33" t="s">
        <v>69</v>
      </c>
      <c r="AN33">
        <v>115.13200000000001</v>
      </c>
      <c r="AO33" t="s">
        <v>69</v>
      </c>
      <c r="AP33" t="s">
        <v>69</v>
      </c>
      <c r="AQ33">
        <v>79</v>
      </c>
      <c r="AR33" t="s">
        <v>147</v>
      </c>
      <c r="AS33" t="s">
        <v>69</v>
      </c>
      <c r="AT33" t="s">
        <v>148</v>
      </c>
      <c r="AU33" t="s">
        <v>69</v>
      </c>
      <c r="AV33">
        <v>146.14599999999999</v>
      </c>
      <c r="AW33" t="s">
        <v>69</v>
      </c>
      <c r="AX33" t="s">
        <v>69</v>
      </c>
      <c r="AY33">
        <v>88</v>
      </c>
      <c r="AZ33" t="s">
        <v>149</v>
      </c>
      <c r="BA33" t="s">
        <v>69</v>
      </c>
      <c r="BB33" t="s">
        <v>150</v>
      </c>
      <c r="BC33" t="s">
        <v>69</v>
      </c>
      <c r="BD33">
        <v>119.119</v>
      </c>
      <c r="BE33" t="s">
        <v>69</v>
      </c>
      <c r="BF33" t="s">
        <v>69</v>
      </c>
      <c r="BG33">
        <v>90</v>
      </c>
      <c r="BH33" t="s">
        <v>151</v>
      </c>
      <c r="BI33" t="s">
        <v>69</v>
      </c>
      <c r="BJ33" t="s">
        <v>152</v>
      </c>
      <c r="BK33" t="s">
        <v>69</v>
      </c>
      <c r="BL33">
        <v>165.19200000000001</v>
      </c>
      <c r="BM33" t="s">
        <v>69</v>
      </c>
      <c r="BN33" t="s">
        <v>69</v>
      </c>
      <c r="BO33">
        <v>111</v>
      </c>
      <c r="BP33" t="s">
        <v>76</v>
      </c>
      <c r="BQ33" t="s">
        <v>69</v>
      </c>
      <c r="BR33" t="s">
        <v>75</v>
      </c>
      <c r="BS33" t="s">
        <v>69</v>
      </c>
      <c r="BT33">
        <v>146.18899999999999</v>
      </c>
      <c r="BU33" t="s">
        <v>69</v>
      </c>
      <c r="BV33" t="s">
        <v>69</v>
      </c>
      <c r="BW33">
        <v>114</v>
      </c>
      <c r="BX33" t="s">
        <v>73</v>
      </c>
      <c r="BY33" t="s">
        <v>69</v>
      </c>
      <c r="BZ33" t="s">
        <v>71</v>
      </c>
      <c r="CA33" t="s">
        <v>69</v>
      </c>
      <c r="CB33">
        <v>89.093999999999994</v>
      </c>
      <c r="CC33" t="s">
        <v>69</v>
      </c>
      <c r="CD33" t="s">
        <v>69</v>
      </c>
      <c r="CE33">
        <v>117</v>
      </c>
      <c r="CF33" t="s">
        <v>145</v>
      </c>
      <c r="CG33" t="s">
        <v>69</v>
      </c>
      <c r="CH33" t="s">
        <v>71</v>
      </c>
      <c r="CI33" t="s">
        <v>69</v>
      </c>
      <c r="CJ33">
        <v>131.17500000000001</v>
      </c>
      <c r="CK33" t="s">
        <v>69</v>
      </c>
      <c r="CL33" t="s">
        <v>69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34"/>
  <sheetViews>
    <sheetView topLeftCell="K1" workbookViewId="0"/>
  </sheetViews>
  <sheetFormatPr defaultRowHeight="15" x14ac:dyDescent="0.25"/>
  <cols>
    <col min="2" max="2" width="13.5703125" customWidth="1"/>
    <col min="8" max="8" width="39.85546875" customWidth="1"/>
  </cols>
  <sheetData>
    <row r="1" spans="1:90"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row>
    <row r="2" spans="1:90" x14ac:dyDescent="0.25">
      <c r="A2">
        <v>7</v>
      </c>
      <c r="B2" t="str">
        <f>HYPERLINK("http://www.ncbi.nlm.nih.gov/protein/NP_068576.1","NP_068576.1")</f>
        <v>NP_068576.1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HYPERLINK("http://www.ncbi.nlm.nih.gov/protein/NP_068576.1","angiotensin-converting enzyme 2 isoform 1 precursor")</f>
        <v>angiotensin-converting enzyme 2 isoform 1 precursor</v>
      </c>
      <c r="I2" t="s">
        <v>154</v>
      </c>
      <c r="J2" t="s">
        <v>69</v>
      </c>
      <c r="K2">
        <v>19</v>
      </c>
      <c r="L2" t="s">
        <v>155</v>
      </c>
      <c r="M2" t="s">
        <v>69</v>
      </c>
      <c r="N2" t="s">
        <v>150</v>
      </c>
      <c r="O2" t="s">
        <v>69</v>
      </c>
      <c r="P2">
        <v>105.093</v>
      </c>
      <c r="Q2" t="s">
        <v>69</v>
      </c>
      <c r="R2" t="s">
        <v>69</v>
      </c>
      <c r="S2">
        <v>24</v>
      </c>
      <c r="T2" t="s">
        <v>147</v>
      </c>
      <c r="U2" t="s">
        <v>69</v>
      </c>
      <c r="V2" t="s">
        <v>148</v>
      </c>
      <c r="W2" t="s">
        <v>69</v>
      </c>
      <c r="X2">
        <v>146.14599999999999</v>
      </c>
      <c r="Y2" t="s">
        <v>69</v>
      </c>
      <c r="Z2" t="s">
        <v>69</v>
      </c>
      <c r="AA2">
        <v>30</v>
      </c>
      <c r="AB2" t="s">
        <v>156</v>
      </c>
      <c r="AC2" t="s">
        <v>69</v>
      </c>
      <c r="AD2" t="s">
        <v>120</v>
      </c>
      <c r="AE2" t="s">
        <v>69</v>
      </c>
      <c r="AF2">
        <v>133.10400000000001</v>
      </c>
      <c r="AG2" t="s">
        <v>69</v>
      </c>
      <c r="AH2" t="s">
        <v>69</v>
      </c>
      <c r="AI2">
        <v>31</v>
      </c>
      <c r="AJ2" t="s">
        <v>76</v>
      </c>
      <c r="AK2" t="s">
        <v>69</v>
      </c>
      <c r="AL2" t="s">
        <v>75</v>
      </c>
      <c r="AM2" t="s">
        <v>69</v>
      </c>
      <c r="AN2">
        <v>146.18899999999999</v>
      </c>
      <c r="AO2" t="s">
        <v>69</v>
      </c>
      <c r="AP2" t="s">
        <v>69</v>
      </c>
      <c r="AQ2">
        <v>35</v>
      </c>
      <c r="AR2" t="s">
        <v>119</v>
      </c>
      <c r="AS2" t="s">
        <v>69</v>
      </c>
      <c r="AT2" t="s">
        <v>120</v>
      </c>
      <c r="AU2" t="s">
        <v>69</v>
      </c>
      <c r="AV2">
        <v>147.131</v>
      </c>
      <c r="AW2" t="s">
        <v>69</v>
      </c>
      <c r="AX2" t="s">
        <v>69</v>
      </c>
      <c r="AY2">
        <v>38</v>
      </c>
      <c r="AZ2" t="s">
        <v>156</v>
      </c>
      <c r="BA2" t="s">
        <v>69</v>
      </c>
      <c r="BB2" t="s">
        <v>120</v>
      </c>
      <c r="BC2" t="s">
        <v>69</v>
      </c>
      <c r="BD2">
        <v>133.10400000000001</v>
      </c>
      <c r="BE2" t="s">
        <v>69</v>
      </c>
      <c r="BF2" t="s">
        <v>69</v>
      </c>
      <c r="BG2">
        <v>41</v>
      </c>
      <c r="BH2" t="s">
        <v>69</v>
      </c>
      <c r="BI2" t="s">
        <v>69</v>
      </c>
      <c r="BJ2" t="s">
        <v>152</v>
      </c>
      <c r="BK2" t="s">
        <v>69</v>
      </c>
      <c r="BL2">
        <v>181.191</v>
      </c>
      <c r="BM2" t="s">
        <v>69</v>
      </c>
      <c r="BN2" t="s">
        <v>69</v>
      </c>
      <c r="BO2">
        <v>42</v>
      </c>
      <c r="BP2" t="s">
        <v>147</v>
      </c>
      <c r="BQ2" t="s">
        <v>69</v>
      </c>
      <c r="BR2" t="s">
        <v>148</v>
      </c>
      <c r="BS2" t="s">
        <v>69</v>
      </c>
      <c r="BT2">
        <v>146.14599999999999</v>
      </c>
      <c r="BU2" t="s">
        <v>69</v>
      </c>
      <c r="BV2" t="s">
        <v>69</v>
      </c>
      <c r="BW2">
        <v>83</v>
      </c>
      <c r="BX2" t="s">
        <v>69</v>
      </c>
      <c r="BY2" t="s">
        <v>69</v>
      </c>
      <c r="BZ2" t="s">
        <v>152</v>
      </c>
      <c r="CA2" t="s">
        <v>69</v>
      </c>
      <c r="CB2">
        <v>181.191</v>
      </c>
      <c r="CC2" t="s">
        <v>69</v>
      </c>
      <c r="CD2" t="s">
        <v>69</v>
      </c>
      <c r="CE2">
        <v>353</v>
      </c>
      <c r="CF2" t="s">
        <v>76</v>
      </c>
      <c r="CG2" t="s">
        <v>69</v>
      </c>
      <c r="CH2" t="s">
        <v>75</v>
      </c>
      <c r="CI2" t="s">
        <v>69</v>
      </c>
      <c r="CJ2">
        <v>146.18899999999999</v>
      </c>
      <c r="CK2" t="s">
        <v>69</v>
      </c>
      <c r="CL2" t="s">
        <v>69</v>
      </c>
    </row>
    <row r="3" spans="1:90" x14ac:dyDescent="0.25">
      <c r="A3">
        <v>7</v>
      </c>
      <c r="B3" t="str">
        <f>HYPERLINK("http://www.ncbi.nlm.nih.gov/protein/XP_018874749.1","XP_018874749.1")</f>
        <v>XP_018874749.1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HYPERLINK("http://www.ncbi.nlm.nih.gov/protein/XP_018874749.1","angiotensin-converting enzyme 2")</f>
        <v>angiotensin-converting enzyme 2</v>
      </c>
      <c r="I3" t="s">
        <v>154</v>
      </c>
      <c r="J3" t="s">
        <v>69</v>
      </c>
      <c r="K3">
        <v>19</v>
      </c>
      <c r="L3" t="s">
        <v>155</v>
      </c>
      <c r="M3" t="s">
        <v>69</v>
      </c>
      <c r="N3" t="s">
        <v>150</v>
      </c>
      <c r="O3" t="s">
        <v>69</v>
      </c>
      <c r="P3">
        <v>105.093</v>
      </c>
      <c r="Q3" t="s">
        <v>69</v>
      </c>
      <c r="R3" t="s">
        <v>69</v>
      </c>
      <c r="S3">
        <v>24</v>
      </c>
      <c r="T3" t="s">
        <v>147</v>
      </c>
      <c r="U3" t="s">
        <v>69</v>
      </c>
      <c r="V3" t="s">
        <v>148</v>
      </c>
      <c r="W3" t="s">
        <v>69</v>
      </c>
      <c r="X3">
        <v>146.14599999999999</v>
      </c>
      <c r="Y3" t="s">
        <v>69</v>
      </c>
      <c r="Z3" t="s">
        <v>69</v>
      </c>
      <c r="AA3">
        <v>30</v>
      </c>
      <c r="AB3" t="s">
        <v>156</v>
      </c>
      <c r="AC3" t="s">
        <v>69</v>
      </c>
      <c r="AD3" t="s">
        <v>120</v>
      </c>
      <c r="AE3" t="s">
        <v>69</v>
      </c>
      <c r="AF3">
        <v>133.10400000000001</v>
      </c>
      <c r="AG3" t="s">
        <v>69</v>
      </c>
      <c r="AH3" t="s">
        <v>69</v>
      </c>
      <c r="AI3">
        <v>31</v>
      </c>
      <c r="AJ3" t="s">
        <v>76</v>
      </c>
      <c r="AK3" t="s">
        <v>69</v>
      </c>
      <c r="AL3" t="s">
        <v>75</v>
      </c>
      <c r="AM3" t="s">
        <v>69</v>
      </c>
      <c r="AN3">
        <v>146.18899999999999</v>
      </c>
      <c r="AO3" t="s">
        <v>69</v>
      </c>
      <c r="AP3" t="s">
        <v>69</v>
      </c>
      <c r="AQ3">
        <v>35</v>
      </c>
      <c r="AR3" t="s">
        <v>119</v>
      </c>
      <c r="AS3" t="s">
        <v>69</v>
      </c>
      <c r="AT3" t="s">
        <v>120</v>
      </c>
      <c r="AU3" t="s">
        <v>69</v>
      </c>
      <c r="AV3">
        <v>147.131</v>
      </c>
      <c r="AW3" t="s">
        <v>69</v>
      </c>
      <c r="AX3" t="s">
        <v>69</v>
      </c>
      <c r="AY3">
        <v>38</v>
      </c>
      <c r="AZ3" t="s">
        <v>156</v>
      </c>
      <c r="BA3" t="s">
        <v>69</v>
      </c>
      <c r="BB3" t="s">
        <v>120</v>
      </c>
      <c r="BC3" t="s">
        <v>69</v>
      </c>
      <c r="BD3">
        <v>133.10400000000001</v>
      </c>
      <c r="BE3" t="s">
        <v>69</v>
      </c>
      <c r="BF3" t="s">
        <v>69</v>
      </c>
      <c r="BG3">
        <v>41</v>
      </c>
      <c r="BH3" t="s">
        <v>69</v>
      </c>
      <c r="BI3" t="s">
        <v>69</v>
      </c>
      <c r="BJ3" t="s">
        <v>152</v>
      </c>
      <c r="BK3" t="s">
        <v>69</v>
      </c>
      <c r="BL3">
        <v>181.191</v>
      </c>
      <c r="BM3" t="s">
        <v>69</v>
      </c>
      <c r="BN3" t="s">
        <v>69</v>
      </c>
      <c r="BO3">
        <v>42</v>
      </c>
      <c r="BP3" t="s">
        <v>147</v>
      </c>
      <c r="BQ3" t="s">
        <v>69</v>
      </c>
      <c r="BR3" t="s">
        <v>148</v>
      </c>
      <c r="BS3" t="s">
        <v>69</v>
      </c>
      <c r="BT3">
        <v>146.14599999999999</v>
      </c>
      <c r="BU3" t="s">
        <v>69</v>
      </c>
      <c r="BV3" t="s">
        <v>69</v>
      </c>
      <c r="BW3">
        <v>83</v>
      </c>
      <c r="BX3" t="s">
        <v>69</v>
      </c>
      <c r="BY3" t="s">
        <v>69</v>
      </c>
      <c r="BZ3" t="s">
        <v>152</v>
      </c>
      <c r="CA3" t="s">
        <v>69</v>
      </c>
      <c r="CB3">
        <v>181.191</v>
      </c>
      <c r="CC3" t="s">
        <v>69</v>
      </c>
      <c r="CD3" t="s">
        <v>69</v>
      </c>
      <c r="CE3">
        <v>353</v>
      </c>
      <c r="CF3" t="s">
        <v>76</v>
      </c>
      <c r="CG3" t="s">
        <v>69</v>
      </c>
      <c r="CH3" t="s">
        <v>75</v>
      </c>
      <c r="CI3" t="s">
        <v>69</v>
      </c>
      <c r="CJ3">
        <v>146.18899999999999</v>
      </c>
      <c r="CK3" t="s">
        <v>69</v>
      </c>
      <c r="CL3" t="s">
        <v>69</v>
      </c>
    </row>
    <row r="4" spans="1:90" x14ac:dyDescent="0.25">
      <c r="A4">
        <v>7</v>
      </c>
      <c r="B4" t="str">
        <f>HYPERLINK("http://www.ncbi.nlm.nih.gov/protein/XP_021788732.1","XP_021788732.1")</f>
        <v>XP_021788732.1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HYPERLINK("http://www.ncbi.nlm.nih.gov/protein/XP_021788732.1","angiotensin-converting enzyme 2")</f>
        <v>angiotensin-converting enzyme 2</v>
      </c>
      <c r="I4" t="s">
        <v>154</v>
      </c>
      <c r="J4" t="s">
        <v>69</v>
      </c>
      <c r="K4">
        <v>19</v>
      </c>
      <c r="L4" t="s">
        <v>155</v>
      </c>
      <c r="M4" t="s">
        <v>69</v>
      </c>
      <c r="N4" t="s">
        <v>150</v>
      </c>
      <c r="O4" t="s">
        <v>69</v>
      </c>
      <c r="P4">
        <v>105.093</v>
      </c>
      <c r="Q4" t="s">
        <v>69</v>
      </c>
      <c r="R4" t="s">
        <v>69</v>
      </c>
      <c r="S4">
        <v>24</v>
      </c>
      <c r="T4" t="s">
        <v>147</v>
      </c>
      <c r="U4" t="s">
        <v>69</v>
      </c>
      <c r="V4" t="s">
        <v>148</v>
      </c>
      <c r="W4" t="s">
        <v>69</v>
      </c>
      <c r="X4">
        <v>146.14599999999999</v>
      </c>
      <c r="Y4" t="s">
        <v>69</v>
      </c>
      <c r="Z4" t="s">
        <v>69</v>
      </c>
      <c r="AA4">
        <v>30</v>
      </c>
      <c r="AB4" t="s">
        <v>156</v>
      </c>
      <c r="AC4" t="s">
        <v>69</v>
      </c>
      <c r="AD4" t="s">
        <v>120</v>
      </c>
      <c r="AE4" t="s">
        <v>69</v>
      </c>
      <c r="AF4">
        <v>133.10400000000001</v>
      </c>
      <c r="AG4" t="s">
        <v>69</v>
      </c>
      <c r="AH4" t="s">
        <v>69</v>
      </c>
      <c r="AI4">
        <v>31</v>
      </c>
      <c r="AJ4" t="s">
        <v>76</v>
      </c>
      <c r="AK4" t="s">
        <v>69</v>
      </c>
      <c r="AL4" t="s">
        <v>75</v>
      </c>
      <c r="AM4" t="s">
        <v>69</v>
      </c>
      <c r="AN4">
        <v>146.18899999999999</v>
      </c>
      <c r="AO4" t="s">
        <v>69</v>
      </c>
      <c r="AP4" t="s">
        <v>69</v>
      </c>
      <c r="AQ4">
        <v>35</v>
      </c>
      <c r="AR4" t="s">
        <v>119</v>
      </c>
      <c r="AS4" t="s">
        <v>69</v>
      </c>
      <c r="AT4" t="s">
        <v>120</v>
      </c>
      <c r="AU4" t="s">
        <v>69</v>
      </c>
      <c r="AV4">
        <v>147.131</v>
      </c>
      <c r="AW4" t="s">
        <v>69</v>
      </c>
      <c r="AX4" t="s">
        <v>69</v>
      </c>
      <c r="AY4">
        <v>38</v>
      </c>
      <c r="AZ4" t="s">
        <v>156</v>
      </c>
      <c r="BA4" t="s">
        <v>69</v>
      </c>
      <c r="BB4" t="s">
        <v>120</v>
      </c>
      <c r="BC4" t="s">
        <v>69</v>
      </c>
      <c r="BD4">
        <v>133.10400000000001</v>
      </c>
      <c r="BE4" t="s">
        <v>69</v>
      </c>
      <c r="BF4" t="s">
        <v>69</v>
      </c>
      <c r="BG4">
        <v>41</v>
      </c>
      <c r="BH4" t="s">
        <v>69</v>
      </c>
      <c r="BI4" t="s">
        <v>69</v>
      </c>
      <c r="BJ4" t="s">
        <v>152</v>
      </c>
      <c r="BK4" t="s">
        <v>69</v>
      </c>
      <c r="BL4">
        <v>181.191</v>
      </c>
      <c r="BM4" t="s">
        <v>69</v>
      </c>
      <c r="BN4" t="s">
        <v>69</v>
      </c>
      <c r="BO4">
        <v>42</v>
      </c>
      <c r="BP4" t="s">
        <v>147</v>
      </c>
      <c r="BQ4" t="s">
        <v>69</v>
      </c>
      <c r="BR4" t="s">
        <v>148</v>
      </c>
      <c r="BS4" t="s">
        <v>69</v>
      </c>
      <c r="BT4">
        <v>146.14599999999999</v>
      </c>
      <c r="BU4" t="s">
        <v>69</v>
      </c>
      <c r="BV4" t="s">
        <v>69</v>
      </c>
      <c r="BW4">
        <v>83</v>
      </c>
      <c r="BX4" t="s">
        <v>69</v>
      </c>
      <c r="BY4" t="s">
        <v>69</v>
      </c>
      <c r="BZ4" t="s">
        <v>152</v>
      </c>
      <c r="CA4" t="s">
        <v>69</v>
      </c>
      <c r="CB4">
        <v>181.191</v>
      </c>
      <c r="CC4" t="s">
        <v>69</v>
      </c>
      <c r="CD4" t="s">
        <v>69</v>
      </c>
      <c r="CE4">
        <v>353</v>
      </c>
      <c r="CF4" t="s">
        <v>76</v>
      </c>
      <c r="CG4" t="s">
        <v>69</v>
      </c>
      <c r="CH4" t="s">
        <v>75</v>
      </c>
      <c r="CI4" t="s">
        <v>69</v>
      </c>
      <c r="CJ4">
        <v>146.18899999999999</v>
      </c>
      <c r="CK4" t="s">
        <v>69</v>
      </c>
      <c r="CL4" t="s">
        <v>69</v>
      </c>
    </row>
    <row r="5" spans="1:90" x14ac:dyDescent="0.25">
      <c r="A5">
        <v>7</v>
      </c>
      <c r="B5" t="str">
        <f>HYPERLINK("http://www.ncbi.nlm.nih.gov/protein/ACI04558.1","ACI04558.1")</f>
        <v>ACI04558.1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HYPERLINK("http://www.ncbi.nlm.nih.gov/protein/ACI04558.1","angiotensin converting enzyme 2")</f>
        <v>angiotensin converting enzyme 2</v>
      </c>
      <c r="I5" t="s">
        <v>154</v>
      </c>
      <c r="J5" t="s">
        <v>69</v>
      </c>
      <c r="K5">
        <v>19</v>
      </c>
      <c r="L5" t="s">
        <v>155</v>
      </c>
      <c r="M5" t="s">
        <v>69</v>
      </c>
      <c r="N5" t="s">
        <v>150</v>
      </c>
      <c r="O5" t="s">
        <v>69</v>
      </c>
      <c r="P5">
        <v>105.093</v>
      </c>
      <c r="Q5" t="s">
        <v>69</v>
      </c>
      <c r="R5" t="s">
        <v>69</v>
      </c>
      <c r="S5">
        <v>24</v>
      </c>
      <c r="T5" t="s">
        <v>147</v>
      </c>
      <c r="U5" t="s">
        <v>69</v>
      </c>
      <c r="V5" t="s">
        <v>148</v>
      </c>
      <c r="W5" t="s">
        <v>69</v>
      </c>
      <c r="X5">
        <v>146.14599999999999</v>
      </c>
      <c r="Y5" t="s">
        <v>69</v>
      </c>
      <c r="Z5" t="s">
        <v>69</v>
      </c>
      <c r="AA5">
        <v>30</v>
      </c>
      <c r="AB5" t="s">
        <v>156</v>
      </c>
      <c r="AC5" t="s">
        <v>69</v>
      </c>
      <c r="AD5" t="s">
        <v>120</v>
      </c>
      <c r="AE5" t="s">
        <v>69</v>
      </c>
      <c r="AF5">
        <v>133.10400000000001</v>
      </c>
      <c r="AG5" t="s">
        <v>69</v>
      </c>
      <c r="AH5" t="s">
        <v>69</v>
      </c>
      <c r="AI5">
        <v>31</v>
      </c>
      <c r="AJ5" t="s">
        <v>76</v>
      </c>
      <c r="AK5" t="s">
        <v>69</v>
      </c>
      <c r="AL5" t="s">
        <v>75</v>
      </c>
      <c r="AM5" t="s">
        <v>69</v>
      </c>
      <c r="AN5">
        <v>146.18899999999999</v>
      </c>
      <c r="AO5" t="s">
        <v>69</v>
      </c>
      <c r="AP5" t="s">
        <v>69</v>
      </c>
      <c r="AQ5">
        <v>35</v>
      </c>
      <c r="AR5" t="s">
        <v>119</v>
      </c>
      <c r="AS5" t="s">
        <v>69</v>
      </c>
      <c r="AT5" t="s">
        <v>120</v>
      </c>
      <c r="AU5" t="s">
        <v>69</v>
      </c>
      <c r="AV5">
        <v>147.131</v>
      </c>
      <c r="AW5" t="s">
        <v>69</v>
      </c>
      <c r="AX5" t="s">
        <v>69</v>
      </c>
      <c r="AY5">
        <v>38</v>
      </c>
      <c r="AZ5" t="s">
        <v>156</v>
      </c>
      <c r="BA5" t="s">
        <v>69</v>
      </c>
      <c r="BB5" t="s">
        <v>120</v>
      </c>
      <c r="BC5" t="s">
        <v>69</v>
      </c>
      <c r="BD5">
        <v>133.10400000000001</v>
      </c>
      <c r="BE5" t="s">
        <v>69</v>
      </c>
      <c r="BF5" t="s">
        <v>69</v>
      </c>
      <c r="BG5">
        <v>41</v>
      </c>
      <c r="BH5" t="s">
        <v>69</v>
      </c>
      <c r="BI5" t="s">
        <v>69</v>
      </c>
      <c r="BJ5" t="s">
        <v>152</v>
      </c>
      <c r="BK5" t="s">
        <v>69</v>
      </c>
      <c r="BL5">
        <v>181.191</v>
      </c>
      <c r="BM5" t="s">
        <v>69</v>
      </c>
      <c r="BN5" t="s">
        <v>69</v>
      </c>
      <c r="BO5">
        <v>42</v>
      </c>
      <c r="BP5" t="s">
        <v>147</v>
      </c>
      <c r="BQ5" t="s">
        <v>69</v>
      </c>
      <c r="BR5" t="s">
        <v>148</v>
      </c>
      <c r="BS5" t="s">
        <v>69</v>
      </c>
      <c r="BT5">
        <v>146.14599999999999</v>
      </c>
      <c r="BU5" t="s">
        <v>69</v>
      </c>
      <c r="BV5" t="s">
        <v>69</v>
      </c>
      <c r="BW5">
        <v>83</v>
      </c>
      <c r="BX5" t="s">
        <v>69</v>
      </c>
      <c r="BY5" t="s">
        <v>69</v>
      </c>
      <c r="BZ5" t="s">
        <v>152</v>
      </c>
      <c r="CA5" t="s">
        <v>69</v>
      </c>
      <c r="CB5">
        <v>181.191</v>
      </c>
      <c r="CC5" t="s">
        <v>69</v>
      </c>
      <c r="CD5" t="s">
        <v>69</v>
      </c>
      <c r="CE5">
        <v>353</v>
      </c>
      <c r="CF5" t="s">
        <v>76</v>
      </c>
      <c r="CG5" t="s">
        <v>69</v>
      </c>
      <c r="CH5" t="s">
        <v>75</v>
      </c>
      <c r="CI5" t="s">
        <v>69</v>
      </c>
      <c r="CJ5">
        <v>146.18899999999999</v>
      </c>
      <c r="CK5" t="s">
        <v>69</v>
      </c>
      <c r="CL5" t="s">
        <v>69</v>
      </c>
    </row>
    <row r="6" spans="1:90" x14ac:dyDescent="0.25">
      <c r="A6">
        <v>7</v>
      </c>
      <c r="B6" t="str">
        <f>HYPERLINK("http://www.ncbi.nlm.nih.gov/protein/XP_007989304.2","XP_007989304.2")</f>
        <v>XP_007989304.2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HYPERLINK("http://www.ncbi.nlm.nih.gov/protein/XP_007989304.2","angiotensin-converting enzyme 2")</f>
        <v>angiotensin-converting enzyme 2</v>
      </c>
      <c r="I6" t="s">
        <v>154</v>
      </c>
      <c r="J6" t="s">
        <v>69</v>
      </c>
      <c r="K6">
        <v>19</v>
      </c>
      <c r="L6" t="s">
        <v>155</v>
      </c>
      <c r="M6" t="s">
        <v>69</v>
      </c>
      <c r="N6" t="s">
        <v>150</v>
      </c>
      <c r="O6" t="s">
        <v>69</v>
      </c>
      <c r="P6">
        <v>105.093</v>
      </c>
      <c r="Q6" t="s">
        <v>69</v>
      </c>
      <c r="R6" t="s">
        <v>69</v>
      </c>
      <c r="S6">
        <v>24</v>
      </c>
      <c r="T6" t="s">
        <v>147</v>
      </c>
      <c r="U6" t="s">
        <v>69</v>
      </c>
      <c r="V6" t="s">
        <v>148</v>
      </c>
      <c r="W6" t="s">
        <v>69</v>
      </c>
      <c r="X6">
        <v>146.14599999999999</v>
      </c>
      <c r="Y6" t="s">
        <v>69</v>
      </c>
      <c r="Z6" t="s">
        <v>69</v>
      </c>
      <c r="AA6">
        <v>30</v>
      </c>
      <c r="AB6" t="s">
        <v>156</v>
      </c>
      <c r="AC6" t="s">
        <v>69</v>
      </c>
      <c r="AD6" t="s">
        <v>120</v>
      </c>
      <c r="AE6" t="s">
        <v>69</v>
      </c>
      <c r="AF6">
        <v>133.10400000000001</v>
      </c>
      <c r="AG6" t="s">
        <v>69</v>
      </c>
      <c r="AH6" t="s">
        <v>69</v>
      </c>
      <c r="AI6">
        <v>31</v>
      </c>
      <c r="AJ6" t="s">
        <v>76</v>
      </c>
      <c r="AK6" t="s">
        <v>69</v>
      </c>
      <c r="AL6" t="s">
        <v>75</v>
      </c>
      <c r="AM6" t="s">
        <v>69</v>
      </c>
      <c r="AN6">
        <v>146.18899999999999</v>
      </c>
      <c r="AO6" t="s">
        <v>69</v>
      </c>
      <c r="AP6" t="s">
        <v>69</v>
      </c>
      <c r="AQ6">
        <v>35</v>
      </c>
      <c r="AR6" t="s">
        <v>119</v>
      </c>
      <c r="AS6" t="s">
        <v>69</v>
      </c>
      <c r="AT6" t="s">
        <v>120</v>
      </c>
      <c r="AU6" t="s">
        <v>69</v>
      </c>
      <c r="AV6">
        <v>147.131</v>
      </c>
      <c r="AW6" t="s">
        <v>69</v>
      </c>
      <c r="AX6" t="s">
        <v>69</v>
      </c>
      <c r="AY6">
        <v>38</v>
      </c>
      <c r="AZ6" t="s">
        <v>156</v>
      </c>
      <c r="BA6" t="s">
        <v>69</v>
      </c>
      <c r="BB6" t="s">
        <v>120</v>
      </c>
      <c r="BC6" t="s">
        <v>69</v>
      </c>
      <c r="BD6">
        <v>133.10400000000001</v>
      </c>
      <c r="BE6" t="s">
        <v>69</v>
      </c>
      <c r="BF6" t="s">
        <v>69</v>
      </c>
      <c r="BG6">
        <v>41</v>
      </c>
      <c r="BH6" t="s">
        <v>69</v>
      </c>
      <c r="BI6" t="s">
        <v>69</v>
      </c>
      <c r="BJ6" t="s">
        <v>152</v>
      </c>
      <c r="BK6" t="s">
        <v>69</v>
      </c>
      <c r="BL6">
        <v>181.191</v>
      </c>
      <c r="BM6" t="s">
        <v>69</v>
      </c>
      <c r="BN6" t="s">
        <v>69</v>
      </c>
      <c r="BO6">
        <v>42</v>
      </c>
      <c r="BP6" t="s">
        <v>147</v>
      </c>
      <c r="BQ6" t="s">
        <v>69</v>
      </c>
      <c r="BR6" t="s">
        <v>148</v>
      </c>
      <c r="BS6" t="s">
        <v>69</v>
      </c>
      <c r="BT6">
        <v>146.14599999999999</v>
      </c>
      <c r="BU6" t="s">
        <v>69</v>
      </c>
      <c r="BV6" t="s">
        <v>69</v>
      </c>
      <c r="BW6">
        <v>83</v>
      </c>
      <c r="BX6" t="s">
        <v>69</v>
      </c>
      <c r="BY6" t="s">
        <v>69</v>
      </c>
      <c r="BZ6" t="s">
        <v>152</v>
      </c>
      <c r="CA6" t="s">
        <v>69</v>
      </c>
      <c r="CB6">
        <v>181.191</v>
      </c>
      <c r="CC6" t="s">
        <v>69</v>
      </c>
      <c r="CD6" t="s">
        <v>69</v>
      </c>
      <c r="CE6">
        <v>353</v>
      </c>
      <c r="CF6" t="s">
        <v>76</v>
      </c>
      <c r="CG6" t="s">
        <v>69</v>
      </c>
      <c r="CH6" t="s">
        <v>75</v>
      </c>
      <c r="CI6" t="s">
        <v>69</v>
      </c>
      <c r="CJ6">
        <v>146.18899999999999</v>
      </c>
      <c r="CK6" t="s">
        <v>69</v>
      </c>
      <c r="CL6" t="s">
        <v>69</v>
      </c>
    </row>
    <row r="7" spans="1:90" x14ac:dyDescent="0.25">
      <c r="A7">
        <v>7</v>
      </c>
      <c r="B7" t="str">
        <f>HYPERLINK("http://www.ncbi.nlm.nih.gov/protein/XP_008987241.1","XP_008987241.1")</f>
        <v>XP_008987241.1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HYPERLINK("http://www.ncbi.nlm.nih.gov/protein/XP_008987241.1","angiotensin-converting enzyme 2")</f>
        <v>angiotensin-converting enzyme 2</v>
      </c>
      <c r="I7" t="s">
        <v>154</v>
      </c>
      <c r="J7" t="s">
        <v>69</v>
      </c>
      <c r="K7">
        <v>19</v>
      </c>
      <c r="L7" t="s">
        <v>155</v>
      </c>
      <c r="M7" t="s">
        <v>69</v>
      </c>
      <c r="N7" t="s">
        <v>150</v>
      </c>
      <c r="O7" t="s">
        <v>69</v>
      </c>
      <c r="P7">
        <v>105.093</v>
      </c>
      <c r="Q7" t="s">
        <v>69</v>
      </c>
      <c r="R7" t="s">
        <v>69</v>
      </c>
      <c r="S7">
        <v>24</v>
      </c>
      <c r="T7" t="s">
        <v>147</v>
      </c>
      <c r="U7" t="s">
        <v>69</v>
      </c>
      <c r="V7" t="s">
        <v>148</v>
      </c>
      <c r="W7" t="s">
        <v>69</v>
      </c>
      <c r="X7">
        <v>146.14599999999999</v>
      </c>
      <c r="Y7" t="s">
        <v>69</v>
      </c>
      <c r="Z7" t="s">
        <v>69</v>
      </c>
      <c r="AA7">
        <v>30</v>
      </c>
      <c r="AB7" t="s">
        <v>156</v>
      </c>
      <c r="AC7" t="s">
        <v>69</v>
      </c>
      <c r="AD7" t="s">
        <v>120</v>
      </c>
      <c r="AE7" t="s">
        <v>69</v>
      </c>
      <c r="AF7">
        <v>133.10400000000001</v>
      </c>
      <c r="AG7" t="s">
        <v>69</v>
      </c>
      <c r="AH7" t="s">
        <v>69</v>
      </c>
      <c r="AI7">
        <v>31</v>
      </c>
      <c r="AJ7" t="s">
        <v>76</v>
      </c>
      <c r="AK7" t="s">
        <v>69</v>
      </c>
      <c r="AL7" t="s">
        <v>75</v>
      </c>
      <c r="AM7" t="s">
        <v>69</v>
      </c>
      <c r="AN7">
        <v>146.18899999999999</v>
      </c>
      <c r="AO7" t="s">
        <v>69</v>
      </c>
      <c r="AP7" t="s">
        <v>69</v>
      </c>
      <c r="AQ7">
        <v>35</v>
      </c>
      <c r="AR7" t="s">
        <v>119</v>
      </c>
      <c r="AS7" t="s">
        <v>69</v>
      </c>
      <c r="AT7" t="s">
        <v>120</v>
      </c>
      <c r="AU7" t="s">
        <v>69</v>
      </c>
      <c r="AV7">
        <v>147.131</v>
      </c>
      <c r="AW7" t="s">
        <v>69</v>
      </c>
      <c r="AX7" t="s">
        <v>69</v>
      </c>
      <c r="AY7">
        <v>38</v>
      </c>
      <c r="AZ7" t="s">
        <v>156</v>
      </c>
      <c r="BA7" t="s">
        <v>69</v>
      </c>
      <c r="BB7" t="s">
        <v>120</v>
      </c>
      <c r="BC7" t="s">
        <v>69</v>
      </c>
      <c r="BD7">
        <v>133.10400000000001</v>
      </c>
      <c r="BE7" t="s">
        <v>69</v>
      </c>
      <c r="BF7" t="s">
        <v>69</v>
      </c>
      <c r="BG7">
        <v>41</v>
      </c>
      <c r="BH7" t="s">
        <v>157</v>
      </c>
      <c r="BI7" t="s">
        <v>153</v>
      </c>
      <c r="BJ7" t="s">
        <v>75</v>
      </c>
      <c r="BK7" t="s">
        <v>153</v>
      </c>
      <c r="BL7">
        <v>155.15600000000001</v>
      </c>
      <c r="BM7" t="s">
        <v>69</v>
      </c>
      <c r="BN7" t="s">
        <v>69</v>
      </c>
      <c r="BO7">
        <v>42</v>
      </c>
      <c r="BP7" t="s">
        <v>119</v>
      </c>
      <c r="BQ7" t="s">
        <v>153</v>
      </c>
      <c r="BR7" t="s">
        <v>120</v>
      </c>
      <c r="BS7" t="s">
        <v>153</v>
      </c>
      <c r="BT7">
        <v>147.131</v>
      </c>
      <c r="BU7" t="s">
        <v>69</v>
      </c>
      <c r="BV7" t="s">
        <v>69</v>
      </c>
      <c r="BW7">
        <v>83</v>
      </c>
      <c r="BX7" t="s">
        <v>69</v>
      </c>
      <c r="BY7" t="s">
        <v>69</v>
      </c>
      <c r="BZ7" t="s">
        <v>152</v>
      </c>
      <c r="CA7" t="s">
        <v>69</v>
      </c>
      <c r="CB7">
        <v>181.191</v>
      </c>
      <c r="CC7" t="s">
        <v>69</v>
      </c>
      <c r="CD7" t="s">
        <v>69</v>
      </c>
      <c r="CE7">
        <v>353</v>
      </c>
      <c r="CF7" t="s">
        <v>76</v>
      </c>
      <c r="CG7" t="s">
        <v>69</v>
      </c>
      <c r="CH7" t="s">
        <v>75</v>
      </c>
      <c r="CI7" t="s">
        <v>69</v>
      </c>
      <c r="CJ7">
        <v>146.18899999999999</v>
      </c>
      <c r="CK7" t="s">
        <v>69</v>
      </c>
      <c r="CL7" t="s">
        <v>69</v>
      </c>
    </row>
    <row r="8" spans="1:90" x14ac:dyDescent="0.25">
      <c r="A8">
        <v>7</v>
      </c>
      <c r="B8" t="str">
        <f>HYPERLINK("http://www.ncbi.nlm.nih.gov/protein/XP_047391637.1","XP_047391637.1")</f>
        <v>XP_047391637.1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HYPERLINK("http://www.ncbi.nlm.nih.gov/protein/XP_047391637.1","angiotensin-converting enzyme 2")</f>
        <v>angiotensin-converting enzyme 2</v>
      </c>
      <c r="I8" t="s">
        <v>154</v>
      </c>
      <c r="J8" t="s">
        <v>69</v>
      </c>
      <c r="K8">
        <v>19</v>
      </c>
      <c r="L8" t="s">
        <v>155</v>
      </c>
      <c r="M8" t="s">
        <v>69</v>
      </c>
      <c r="N8" t="s">
        <v>150</v>
      </c>
      <c r="O8" t="s">
        <v>69</v>
      </c>
      <c r="P8">
        <v>105.093</v>
      </c>
      <c r="Q8" t="s">
        <v>69</v>
      </c>
      <c r="R8" t="s">
        <v>69</v>
      </c>
      <c r="S8">
        <v>24</v>
      </c>
      <c r="T8" t="s">
        <v>72</v>
      </c>
      <c r="U8" t="s">
        <v>153</v>
      </c>
      <c r="V8" t="s">
        <v>71</v>
      </c>
      <c r="W8" t="s">
        <v>153</v>
      </c>
      <c r="X8">
        <v>131.17500000000001</v>
      </c>
      <c r="Y8" t="s">
        <v>69</v>
      </c>
      <c r="Z8" t="s">
        <v>69</v>
      </c>
      <c r="AA8">
        <v>30</v>
      </c>
      <c r="AB8" t="s">
        <v>156</v>
      </c>
      <c r="AC8" t="s">
        <v>69</v>
      </c>
      <c r="AD8" t="s">
        <v>120</v>
      </c>
      <c r="AE8" t="s">
        <v>69</v>
      </c>
      <c r="AF8">
        <v>133.10400000000001</v>
      </c>
      <c r="AG8" t="s">
        <v>69</v>
      </c>
      <c r="AH8" t="s">
        <v>69</v>
      </c>
      <c r="AI8">
        <v>31</v>
      </c>
      <c r="AJ8" t="s">
        <v>76</v>
      </c>
      <c r="AK8" t="s">
        <v>69</v>
      </c>
      <c r="AL8" t="s">
        <v>75</v>
      </c>
      <c r="AM8" t="s">
        <v>69</v>
      </c>
      <c r="AN8">
        <v>146.18899999999999</v>
      </c>
      <c r="AO8" t="s">
        <v>69</v>
      </c>
      <c r="AP8" t="s">
        <v>69</v>
      </c>
      <c r="AQ8">
        <v>35</v>
      </c>
      <c r="AR8" t="s">
        <v>119</v>
      </c>
      <c r="AS8" t="s">
        <v>69</v>
      </c>
      <c r="AT8" t="s">
        <v>120</v>
      </c>
      <c r="AU8" t="s">
        <v>69</v>
      </c>
      <c r="AV8">
        <v>147.131</v>
      </c>
      <c r="AW8" t="s">
        <v>69</v>
      </c>
      <c r="AX8" t="s">
        <v>69</v>
      </c>
      <c r="AY8">
        <v>38</v>
      </c>
      <c r="AZ8" t="s">
        <v>156</v>
      </c>
      <c r="BA8" t="s">
        <v>69</v>
      </c>
      <c r="BB8" t="s">
        <v>120</v>
      </c>
      <c r="BC8" t="s">
        <v>69</v>
      </c>
      <c r="BD8">
        <v>133.10400000000001</v>
      </c>
      <c r="BE8" t="s">
        <v>69</v>
      </c>
      <c r="BF8" t="s">
        <v>69</v>
      </c>
      <c r="BG8">
        <v>41</v>
      </c>
      <c r="BH8" t="s">
        <v>69</v>
      </c>
      <c r="BI8" t="s">
        <v>69</v>
      </c>
      <c r="BJ8" t="s">
        <v>152</v>
      </c>
      <c r="BK8" t="s">
        <v>69</v>
      </c>
      <c r="BL8">
        <v>181.191</v>
      </c>
      <c r="BM8" t="s">
        <v>69</v>
      </c>
      <c r="BN8" t="s">
        <v>69</v>
      </c>
      <c r="BO8">
        <v>42</v>
      </c>
      <c r="BP8" t="s">
        <v>147</v>
      </c>
      <c r="BQ8" t="s">
        <v>69</v>
      </c>
      <c r="BR8" t="s">
        <v>148</v>
      </c>
      <c r="BS8" t="s">
        <v>69</v>
      </c>
      <c r="BT8">
        <v>146.14599999999999</v>
      </c>
      <c r="BU8" t="s">
        <v>69</v>
      </c>
      <c r="BV8" t="s">
        <v>69</v>
      </c>
      <c r="BW8">
        <v>83</v>
      </c>
      <c r="BX8" t="s">
        <v>69</v>
      </c>
      <c r="BY8" t="s">
        <v>69</v>
      </c>
      <c r="BZ8" t="s">
        <v>152</v>
      </c>
      <c r="CA8" t="s">
        <v>69</v>
      </c>
      <c r="CB8">
        <v>181.191</v>
      </c>
      <c r="CC8" t="s">
        <v>69</v>
      </c>
      <c r="CD8" t="s">
        <v>69</v>
      </c>
      <c r="CE8">
        <v>353</v>
      </c>
      <c r="CF8" t="s">
        <v>76</v>
      </c>
      <c r="CG8" t="s">
        <v>69</v>
      </c>
      <c r="CH8" t="s">
        <v>75</v>
      </c>
      <c r="CI8" t="s">
        <v>69</v>
      </c>
      <c r="CJ8">
        <v>146.18899999999999</v>
      </c>
      <c r="CK8" t="s">
        <v>69</v>
      </c>
      <c r="CL8" t="s">
        <v>69</v>
      </c>
    </row>
    <row r="9" spans="1:90" x14ac:dyDescent="0.25">
      <c r="A9">
        <v>7</v>
      </c>
      <c r="B9" t="str">
        <f>HYPERLINK("http://www.ncbi.nlm.nih.gov/protein/QLF98525.1","QLF98525.1")</f>
        <v>QLF98525.1</v>
      </c>
      <c r="C9">
        <v>53150</v>
      </c>
      <c r="D9" t="str">
        <f>HYPERLINK("http://www.ncbi.nlm.nih.gov/Taxonomy/Browser/wwwtax.cgi?mode=Info&amp;id=9986&amp;lvl=3&amp;lin=f&amp;keep=1&amp;srchmode=1&amp;unlock","9986")</f>
        <v>9986</v>
      </c>
      <c r="E9" t="s">
        <v>66</v>
      </c>
      <c r="F9" t="str">
        <f>HYPERLINK("http://www.ncbi.nlm.nih.gov/Taxonomy/Browser/wwwtax.cgi?mode=Info&amp;id=9986&amp;lvl=3&amp;lin=f&amp;keep=1&amp;srchmode=1&amp;unlock","Oryctolagus cuniculus")</f>
        <v>Oryctolagus cuniculus</v>
      </c>
      <c r="G9" t="s">
        <v>83</v>
      </c>
      <c r="H9" t="str">
        <f>HYPERLINK("http://www.ncbi.nlm.nih.gov/protein/QLF98525.1","angiotensin I converting enzyme 2")</f>
        <v>angiotensin I converting enzyme 2</v>
      </c>
      <c r="I9" t="s">
        <v>154</v>
      </c>
      <c r="J9" t="s">
        <v>69</v>
      </c>
      <c r="K9">
        <v>19</v>
      </c>
      <c r="L9" t="s">
        <v>155</v>
      </c>
      <c r="M9" t="s">
        <v>69</v>
      </c>
      <c r="N9" t="s">
        <v>150</v>
      </c>
      <c r="O9" t="s">
        <v>69</v>
      </c>
      <c r="P9">
        <v>105.093</v>
      </c>
      <c r="Q9" t="s">
        <v>69</v>
      </c>
      <c r="R9" t="s">
        <v>69</v>
      </c>
      <c r="S9">
        <v>24</v>
      </c>
      <c r="T9" t="s">
        <v>72</v>
      </c>
      <c r="U9" t="s">
        <v>153</v>
      </c>
      <c r="V9" t="s">
        <v>71</v>
      </c>
      <c r="W9" t="s">
        <v>153</v>
      </c>
      <c r="X9">
        <v>131.17500000000001</v>
      </c>
      <c r="Y9" t="s">
        <v>69</v>
      </c>
      <c r="Z9" t="s">
        <v>69</v>
      </c>
      <c r="AA9">
        <v>30</v>
      </c>
      <c r="AB9" t="s">
        <v>119</v>
      </c>
      <c r="AC9" t="s">
        <v>153</v>
      </c>
      <c r="AD9" t="s">
        <v>120</v>
      </c>
      <c r="AE9" t="s">
        <v>69</v>
      </c>
      <c r="AF9">
        <v>147.131</v>
      </c>
      <c r="AG9" t="s">
        <v>69</v>
      </c>
      <c r="AH9" t="s">
        <v>69</v>
      </c>
      <c r="AI9">
        <v>31</v>
      </c>
      <c r="AJ9" t="s">
        <v>76</v>
      </c>
      <c r="AK9" t="s">
        <v>69</v>
      </c>
      <c r="AL9" t="s">
        <v>75</v>
      </c>
      <c r="AM9" t="s">
        <v>69</v>
      </c>
      <c r="AN9">
        <v>146.18899999999999</v>
      </c>
      <c r="AO9" t="s">
        <v>69</v>
      </c>
      <c r="AP9" t="s">
        <v>69</v>
      </c>
      <c r="AQ9">
        <v>35</v>
      </c>
      <c r="AR9" t="s">
        <v>119</v>
      </c>
      <c r="AS9" t="s">
        <v>69</v>
      </c>
      <c r="AT9" t="s">
        <v>120</v>
      </c>
      <c r="AU9" t="s">
        <v>69</v>
      </c>
      <c r="AV9">
        <v>147.131</v>
      </c>
      <c r="AW9" t="s">
        <v>69</v>
      </c>
      <c r="AX9" t="s">
        <v>69</v>
      </c>
      <c r="AY9">
        <v>38</v>
      </c>
      <c r="AZ9" t="s">
        <v>156</v>
      </c>
      <c r="BA9" t="s">
        <v>69</v>
      </c>
      <c r="BB9" t="s">
        <v>120</v>
      </c>
      <c r="BC9" t="s">
        <v>69</v>
      </c>
      <c r="BD9">
        <v>133.10400000000001</v>
      </c>
      <c r="BE9" t="s">
        <v>69</v>
      </c>
      <c r="BF9" t="s">
        <v>69</v>
      </c>
      <c r="BG9">
        <v>41</v>
      </c>
      <c r="BH9" t="s">
        <v>69</v>
      </c>
      <c r="BI9" t="s">
        <v>69</v>
      </c>
      <c r="BJ9" t="s">
        <v>152</v>
      </c>
      <c r="BK9" t="s">
        <v>69</v>
      </c>
      <c r="BL9">
        <v>181.191</v>
      </c>
      <c r="BM9" t="s">
        <v>69</v>
      </c>
      <c r="BN9" t="s">
        <v>69</v>
      </c>
      <c r="BO9">
        <v>42</v>
      </c>
      <c r="BP9" t="s">
        <v>147</v>
      </c>
      <c r="BQ9" t="s">
        <v>69</v>
      </c>
      <c r="BR9" t="s">
        <v>148</v>
      </c>
      <c r="BS9" t="s">
        <v>69</v>
      </c>
      <c r="BT9">
        <v>146.14599999999999</v>
      </c>
      <c r="BU9" t="s">
        <v>69</v>
      </c>
      <c r="BV9" t="s">
        <v>69</v>
      </c>
      <c r="BW9">
        <v>83</v>
      </c>
      <c r="BX9" t="s">
        <v>69</v>
      </c>
      <c r="BY9" t="s">
        <v>69</v>
      </c>
      <c r="BZ9" t="s">
        <v>152</v>
      </c>
      <c r="CA9" t="s">
        <v>69</v>
      </c>
      <c r="CB9">
        <v>181.191</v>
      </c>
      <c r="CC9" t="s">
        <v>69</v>
      </c>
      <c r="CD9" t="s">
        <v>69</v>
      </c>
      <c r="CE9">
        <v>353</v>
      </c>
      <c r="CF9" t="s">
        <v>76</v>
      </c>
      <c r="CG9" t="s">
        <v>69</v>
      </c>
      <c r="CH9" t="s">
        <v>75</v>
      </c>
      <c r="CI9" t="s">
        <v>69</v>
      </c>
      <c r="CJ9">
        <v>146.18899999999999</v>
      </c>
      <c r="CK9" t="s">
        <v>69</v>
      </c>
      <c r="CL9" t="s">
        <v>69</v>
      </c>
    </row>
    <row r="10" spans="1:90" x14ac:dyDescent="0.25">
      <c r="A10">
        <v>7</v>
      </c>
      <c r="B10" t="str">
        <f>HYPERLINK("http://www.ncbi.nlm.nih.gov/protein/XP_025790417.1","XP_025790417.1")</f>
        <v>XP_025790417.1</v>
      </c>
      <c r="C10">
        <v>23623</v>
      </c>
      <c r="D10" t="str">
        <f>HYPERLINK("http://www.ncbi.nlm.nih.gov/Taxonomy/Browser/wwwtax.cgi?mode=Info&amp;id=9696&amp;lvl=3&amp;lin=f&amp;keep=1&amp;srchmode=1&amp;unlock","9696")</f>
        <v>9696</v>
      </c>
      <c r="E10" t="s">
        <v>66</v>
      </c>
      <c r="F10" t="str">
        <f>HYPERLINK("http://www.ncbi.nlm.nih.gov/Taxonomy/Browser/wwwtax.cgi?mode=Info&amp;id=9696&amp;lvl=3&amp;lin=f&amp;keep=1&amp;srchmode=1&amp;unlock","Puma concolor")</f>
        <v>Puma concolor</v>
      </c>
      <c r="G10" t="s">
        <v>91</v>
      </c>
      <c r="H10" t="str">
        <f>HYPERLINK("http://www.ncbi.nlm.nih.gov/protein/XP_025790417.1","angiotensin-converting enzyme 2")</f>
        <v>angiotensin-converting enzyme 2</v>
      </c>
      <c r="I10" t="s">
        <v>154</v>
      </c>
      <c r="J10" t="s">
        <v>69</v>
      </c>
      <c r="K10">
        <v>19</v>
      </c>
      <c r="L10" t="s">
        <v>155</v>
      </c>
      <c r="M10" t="s">
        <v>69</v>
      </c>
      <c r="N10" t="s">
        <v>150</v>
      </c>
      <c r="O10" t="s">
        <v>69</v>
      </c>
      <c r="P10">
        <v>105.093</v>
      </c>
      <c r="Q10" t="s">
        <v>69</v>
      </c>
      <c r="R10" t="s">
        <v>69</v>
      </c>
      <c r="S10">
        <v>24</v>
      </c>
      <c r="T10" t="s">
        <v>72</v>
      </c>
      <c r="U10" t="s">
        <v>153</v>
      </c>
      <c r="V10" t="s">
        <v>71</v>
      </c>
      <c r="W10" t="s">
        <v>153</v>
      </c>
      <c r="X10">
        <v>131.17500000000001</v>
      </c>
      <c r="Y10" t="s">
        <v>69</v>
      </c>
      <c r="Z10" t="s">
        <v>69</v>
      </c>
      <c r="AA10">
        <v>30</v>
      </c>
      <c r="AB10" t="s">
        <v>119</v>
      </c>
      <c r="AC10" t="s">
        <v>153</v>
      </c>
      <c r="AD10" t="s">
        <v>120</v>
      </c>
      <c r="AE10" t="s">
        <v>69</v>
      </c>
      <c r="AF10">
        <v>147.131</v>
      </c>
      <c r="AG10" t="s">
        <v>69</v>
      </c>
      <c r="AH10" t="s">
        <v>69</v>
      </c>
      <c r="AI10">
        <v>31</v>
      </c>
      <c r="AJ10" t="s">
        <v>76</v>
      </c>
      <c r="AK10" t="s">
        <v>69</v>
      </c>
      <c r="AL10" t="s">
        <v>75</v>
      </c>
      <c r="AM10" t="s">
        <v>69</v>
      </c>
      <c r="AN10">
        <v>146.18899999999999</v>
      </c>
      <c r="AO10" t="s">
        <v>69</v>
      </c>
      <c r="AP10" t="s">
        <v>69</v>
      </c>
      <c r="AQ10">
        <v>35</v>
      </c>
      <c r="AR10" t="s">
        <v>119</v>
      </c>
      <c r="AS10" t="s">
        <v>69</v>
      </c>
      <c r="AT10" t="s">
        <v>120</v>
      </c>
      <c r="AU10" t="s">
        <v>69</v>
      </c>
      <c r="AV10">
        <v>147.131</v>
      </c>
      <c r="AW10" t="s">
        <v>69</v>
      </c>
      <c r="AX10" t="s">
        <v>69</v>
      </c>
      <c r="AY10">
        <v>38</v>
      </c>
      <c r="AZ10" t="s">
        <v>119</v>
      </c>
      <c r="BA10" t="s">
        <v>153</v>
      </c>
      <c r="BB10" t="s">
        <v>120</v>
      </c>
      <c r="BC10" t="s">
        <v>69</v>
      </c>
      <c r="BD10">
        <v>147.131</v>
      </c>
      <c r="BE10" t="s">
        <v>69</v>
      </c>
      <c r="BF10" t="s">
        <v>69</v>
      </c>
      <c r="BG10">
        <v>41</v>
      </c>
      <c r="BH10" t="s">
        <v>69</v>
      </c>
      <c r="BI10" t="s">
        <v>69</v>
      </c>
      <c r="BJ10" t="s">
        <v>152</v>
      </c>
      <c r="BK10" t="s">
        <v>69</v>
      </c>
      <c r="BL10">
        <v>181.191</v>
      </c>
      <c r="BM10" t="s">
        <v>69</v>
      </c>
      <c r="BN10" t="s">
        <v>69</v>
      </c>
      <c r="BO10">
        <v>42</v>
      </c>
      <c r="BP10" t="s">
        <v>147</v>
      </c>
      <c r="BQ10" t="s">
        <v>69</v>
      </c>
      <c r="BR10" t="s">
        <v>148</v>
      </c>
      <c r="BS10" t="s">
        <v>69</v>
      </c>
      <c r="BT10">
        <v>146.14599999999999</v>
      </c>
      <c r="BU10" t="s">
        <v>69</v>
      </c>
      <c r="BV10" t="s">
        <v>69</v>
      </c>
      <c r="BW10">
        <v>83</v>
      </c>
      <c r="BX10" t="s">
        <v>69</v>
      </c>
      <c r="BY10" t="s">
        <v>69</v>
      </c>
      <c r="BZ10" t="s">
        <v>152</v>
      </c>
      <c r="CA10" t="s">
        <v>69</v>
      </c>
      <c r="CB10">
        <v>181.191</v>
      </c>
      <c r="CC10" t="s">
        <v>69</v>
      </c>
      <c r="CD10" t="s">
        <v>69</v>
      </c>
      <c r="CE10">
        <v>353</v>
      </c>
      <c r="CF10" t="s">
        <v>76</v>
      </c>
      <c r="CG10" t="s">
        <v>69</v>
      </c>
      <c r="CH10" t="s">
        <v>75</v>
      </c>
      <c r="CI10" t="s">
        <v>69</v>
      </c>
      <c r="CJ10">
        <v>146.18899999999999</v>
      </c>
      <c r="CK10" t="s">
        <v>69</v>
      </c>
      <c r="CL10" t="s">
        <v>69</v>
      </c>
    </row>
    <row r="11" spans="1:90" x14ac:dyDescent="0.25">
      <c r="A11">
        <v>7</v>
      </c>
      <c r="B11" t="str">
        <f>HYPERLINK("http://www.ncbi.nlm.nih.gov/protein/XP_007090142.2","XP_007090142.2")</f>
        <v>XP_007090142.2</v>
      </c>
      <c r="C11">
        <v>56089</v>
      </c>
      <c r="D11" t="str">
        <f>HYPERLINK("http://www.ncbi.nlm.nih.gov/Taxonomy/Browser/wwwtax.cgi?mode=Info&amp;id=9694&amp;lvl=3&amp;lin=f&amp;keep=1&amp;srchmode=1&amp;unlock","9694")</f>
        <v>9694</v>
      </c>
      <c r="E11" t="s">
        <v>66</v>
      </c>
      <c r="F11" t="str">
        <f>HYPERLINK("http://www.ncbi.nlm.nih.gov/Taxonomy/Browser/wwwtax.cgi?mode=Info&amp;id=9694&amp;lvl=3&amp;lin=f&amp;keep=1&amp;srchmode=1&amp;unlock","Panthera tigris")</f>
        <v>Panthera tigris</v>
      </c>
      <c r="G11" t="s">
        <v>89</v>
      </c>
      <c r="H11" t="str">
        <f>HYPERLINK("http://www.ncbi.nlm.nih.gov/protein/XP_007090142.2","angiotensin-converting enzyme 2 isoform X1")</f>
        <v>angiotensin-converting enzyme 2 isoform X1</v>
      </c>
      <c r="I11" t="s">
        <v>154</v>
      </c>
      <c r="J11" t="s">
        <v>69</v>
      </c>
      <c r="K11">
        <v>19</v>
      </c>
      <c r="L11" t="s">
        <v>155</v>
      </c>
      <c r="M11" t="s">
        <v>69</v>
      </c>
      <c r="N11" t="s">
        <v>150</v>
      </c>
      <c r="O11" t="s">
        <v>69</v>
      </c>
      <c r="P11">
        <v>105.093</v>
      </c>
      <c r="Q11" t="s">
        <v>69</v>
      </c>
      <c r="R11" t="s">
        <v>69</v>
      </c>
      <c r="S11">
        <v>24</v>
      </c>
      <c r="T11" t="s">
        <v>72</v>
      </c>
      <c r="U11" t="s">
        <v>153</v>
      </c>
      <c r="V11" t="s">
        <v>71</v>
      </c>
      <c r="W11" t="s">
        <v>153</v>
      </c>
      <c r="X11">
        <v>131.17500000000001</v>
      </c>
      <c r="Y11" t="s">
        <v>69</v>
      </c>
      <c r="Z11" t="s">
        <v>69</v>
      </c>
      <c r="AA11">
        <v>30</v>
      </c>
      <c r="AB11" t="s">
        <v>119</v>
      </c>
      <c r="AC11" t="s">
        <v>153</v>
      </c>
      <c r="AD11" t="s">
        <v>120</v>
      </c>
      <c r="AE11" t="s">
        <v>69</v>
      </c>
      <c r="AF11">
        <v>147.131</v>
      </c>
      <c r="AG11" t="s">
        <v>69</v>
      </c>
      <c r="AH11" t="s">
        <v>69</v>
      </c>
      <c r="AI11">
        <v>31</v>
      </c>
      <c r="AJ11" t="s">
        <v>76</v>
      </c>
      <c r="AK11" t="s">
        <v>69</v>
      </c>
      <c r="AL11" t="s">
        <v>75</v>
      </c>
      <c r="AM11" t="s">
        <v>69</v>
      </c>
      <c r="AN11">
        <v>146.18899999999999</v>
      </c>
      <c r="AO11" t="s">
        <v>69</v>
      </c>
      <c r="AP11" t="s">
        <v>69</v>
      </c>
      <c r="AQ11">
        <v>35</v>
      </c>
      <c r="AR11" t="s">
        <v>119</v>
      </c>
      <c r="AS11" t="s">
        <v>69</v>
      </c>
      <c r="AT11" t="s">
        <v>120</v>
      </c>
      <c r="AU11" t="s">
        <v>69</v>
      </c>
      <c r="AV11">
        <v>147.131</v>
      </c>
      <c r="AW11" t="s">
        <v>69</v>
      </c>
      <c r="AX11" t="s">
        <v>69</v>
      </c>
      <c r="AY11">
        <v>38</v>
      </c>
      <c r="AZ11" t="s">
        <v>119</v>
      </c>
      <c r="BA11" t="s">
        <v>153</v>
      </c>
      <c r="BB11" t="s">
        <v>120</v>
      </c>
      <c r="BC11" t="s">
        <v>69</v>
      </c>
      <c r="BD11">
        <v>147.131</v>
      </c>
      <c r="BE11" t="s">
        <v>69</v>
      </c>
      <c r="BF11" t="s">
        <v>69</v>
      </c>
      <c r="BG11">
        <v>41</v>
      </c>
      <c r="BH11" t="s">
        <v>69</v>
      </c>
      <c r="BI11" t="s">
        <v>69</v>
      </c>
      <c r="BJ11" t="s">
        <v>152</v>
      </c>
      <c r="BK11" t="s">
        <v>69</v>
      </c>
      <c r="BL11">
        <v>181.191</v>
      </c>
      <c r="BM11" t="s">
        <v>69</v>
      </c>
      <c r="BN11" t="s">
        <v>69</v>
      </c>
      <c r="BO11">
        <v>42</v>
      </c>
      <c r="BP11" t="s">
        <v>147</v>
      </c>
      <c r="BQ11" t="s">
        <v>69</v>
      </c>
      <c r="BR11" t="s">
        <v>148</v>
      </c>
      <c r="BS11" t="s">
        <v>69</v>
      </c>
      <c r="BT11">
        <v>146.14599999999999</v>
      </c>
      <c r="BU11" t="s">
        <v>69</v>
      </c>
      <c r="BV11" t="s">
        <v>69</v>
      </c>
      <c r="BW11">
        <v>83</v>
      </c>
      <c r="BX11" t="s">
        <v>69</v>
      </c>
      <c r="BY11" t="s">
        <v>69</v>
      </c>
      <c r="BZ11" t="s">
        <v>152</v>
      </c>
      <c r="CA11" t="s">
        <v>69</v>
      </c>
      <c r="CB11">
        <v>181.191</v>
      </c>
      <c r="CC11" t="s">
        <v>69</v>
      </c>
      <c r="CD11" t="s">
        <v>69</v>
      </c>
      <c r="CE11">
        <v>353</v>
      </c>
      <c r="CF11" t="s">
        <v>76</v>
      </c>
      <c r="CG11" t="s">
        <v>69</v>
      </c>
      <c r="CH11" t="s">
        <v>75</v>
      </c>
      <c r="CI11" t="s">
        <v>69</v>
      </c>
      <c r="CJ11">
        <v>146.18899999999999</v>
      </c>
      <c r="CK11" t="s">
        <v>69</v>
      </c>
      <c r="CL11" t="s">
        <v>69</v>
      </c>
    </row>
    <row r="12" spans="1:90" x14ac:dyDescent="0.25">
      <c r="A12">
        <v>7</v>
      </c>
      <c r="B12" t="str">
        <f>HYPERLINK("http://www.ncbi.nlm.nih.gov/protein/XP_047700804.1","XP_047700804.1")</f>
        <v>XP_047700804.1</v>
      </c>
      <c r="C12">
        <v>56399</v>
      </c>
      <c r="D12" t="str">
        <f>HYPERLINK("http://www.ncbi.nlm.nih.gov/Taxonomy/Browser/wwwtax.cgi?mode=Info&amp;id=61388&amp;lvl=3&amp;lin=f&amp;keep=1&amp;srchmode=1&amp;unlock","61388")</f>
        <v>61388</v>
      </c>
      <c r="E12" t="s">
        <v>66</v>
      </c>
      <c r="F12" t="str">
        <f>HYPERLINK("http://www.ncbi.nlm.nih.gov/Taxonomy/Browser/wwwtax.cgi?mode=Info&amp;id=61388&amp;lvl=3&amp;lin=f&amp;keep=1&amp;srchmode=1&amp;unlock","Prionailurus viverrinus")</f>
        <v>Prionailurus viverrinus</v>
      </c>
      <c r="G12" t="s">
        <v>94</v>
      </c>
      <c r="H12" t="str">
        <f>HYPERLINK("http://www.ncbi.nlm.nih.gov/protein/XP_047700804.1","angiotensin-converting enzyme 2 isoform X1")</f>
        <v>angiotensin-converting enzyme 2 isoform X1</v>
      </c>
      <c r="I12" t="s">
        <v>154</v>
      </c>
      <c r="J12" t="s">
        <v>69</v>
      </c>
      <c r="K12">
        <v>19</v>
      </c>
      <c r="L12" t="s">
        <v>155</v>
      </c>
      <c r="M12" t="s">
        <v>69</v>
      </c>
      <c r="N12" t="s">
        <v>150</v>
      </c>
      <c r="O12" t="s">
        <v>69</v>
      </c>
      <c r="P12">
        <v>105.093</v>
      </c>
      <c r="Q12" t="s">
        <v>69</v>
      </c>
      <c r="R12" t="s">
        <v>69</v>
      </c>
      <c r="S12">
        <v>24</v>
      </c>
      <c r="T12" t="s">
        <v>72</v>
      </c>
      <c r="U12" t="s">
        <v>153</v>
      </c>
      <c r="V12" t="s">
        <v>71</v>
      </c>
      <c r="W12" t="s">
        <v>153</v>
      </c>
      <c r="X12">
        <v>131.17500000000001</v>
      </c>
      <c r="Y12" t="s">
        <v>69</v>
      </c>
      <c r="Z12" t="s">
        <v>69</v>
      </c>
      <c r="AA12">
        <v>30</v>
      </c>
      <c r="AB12" t="s">
        <v>119</v>
      </c>
      <c r="AC12" t="s">
        <v>153</v>
      </c>
      <c r="AD12" t="s">
        <v>120</v>
      </c>
      <c r="AE12" t="s">
        <v>69</v>
      </c>
      <c r="AF12">
        <v>147.131</v>
      </c>
      <c r="AG12" t="s">
        <v>69</v>
      </c>
      <c r="AH12" t="s">
        <v>69</v>
      </c>
      <c r="AI12">
        <v>31</v>
      </c>
      <c r="AJ12" t="s">
        <v>76</v>
      </c>
      <c r="AK12" t="s">
        <v>69</v>
      </c>
      <c r="AL12" t="s">
        <v>75</v>
      </c>
      <c r="AM12" t="s">
        <v>69</v>
      </c>
      <c r="AN12">
        <v>146.18899999999999</v>
      </c>
      <c r="AO12" t="s">
        <v>69</v>
      </c>
      <c r="AP12" t="s">
        <v>69</v>
      </c>
      <c r="AQ12">
        <v>35</v>
      </c>
      <c r="AR12" t="s">
        <v>119</v>
      </c>
      <c r="AS12" t="s">
        <v>69</v>
      </c>
      <c r="AT12" t="s">
        <v>120</v>
      </c>
      <c r="AU12" t="s">
        <v>69</v>
      </c>
      <c r="AV12">
        <v>147.131</v>
      </c>
      <c r="AW12" t="s">
        <v>69</v>
      </c>
      <c r="AX12" t="s">
        <v>69</v>
      </c>
      <c r="AY12">
        <v>38</v>
      </c>
      <c r="AZ12" t="s">
        <v>119</v>
      </c>
      <c r="BA12" t="s">
        <v>153</v>
      </c>
      <c r="BB12" t="s">
        <v>120</v>
      </c>
      <c r="BC12" t="s">
        <v>69</v>
      </c>
      <c r="BD12">
        <v>147.131</v>
      </c>
      <c r="BE12" t="s">
        <v>69</v>
      </c>
      <c r="BF12" t="s">
        <v>69</v>
      </c>
      <c r="BG12">
        <v>41</v>
      </c>
      <c r="BH12" t="s">
        <v>69</v>
      </c>
      <c r="BI12" t="s">
        <v>69</v>
      </c>
      <c r="BJ12" t="s">
        <v>152</v>
      </c>
      <c r="BK12" t="s">
        <v>69</v>
      </c>
      <c r="BL12">
        <v>181.191</v>
      </c>
      <c r="BM12" t="s">
        <v>69</v>
      </c>
      <c r="BN12" t="s">
        <v>69</v>
      </c>
      <c r="BO12">
        <v>42</v>
      </c>
      <c r="BP12" t="s">
        <v>147</v>
      </c>
      <c r="BQ12" t="s">
        <v>69</v>
      </c>
      <c r="BR12" t="s">
        <v>148</v>
      </c>
      <c r="BS12" t="s">
        <v>69</v>
      </c>
      <c r="BT12">
        <v>146.14599999999999</v>
      </c>
      <c r="BU12" t="s">
        <v>69</v>
      </c>
      <c r="BV12" t="s">
        <v>69</v>
      </c>
      <c r="BW12">
        <v>83</v>
      </c>
      <c r="BX12" t="s">
        <v>69</v>
      </c>
      <c r="BY12" t="s">
        <v>69</v>
      </c>
      <c r="BZ12" t="s">
        <v>152</v>
      </c>
      <c r="CA12" t="s">
        <v>69</v>
      </c>
      <c r="CB12">
        <v>181.191</v>
      </c>
      <c r="CC12" t="s">
        <v>69</v>
      </c>
      <c r="CD12" t="s">
        <v>69</v>
      </c>
      <c r="CE12">
        <v>353</v>
      </c>
      <c r="CF12" t="s">
        <v>76</v>
      </c>
      <c r="CG12" t="s">
        <v>69</v>
      </c>
      <c r="CH12" t="s">
        <v>75</v>
      </c>
      <c r="CI12" t="s">
        <v>69</v>
      </c>
      <c r="CJ12">
        <v>146.18899999999999</v>
      </c>
      <c r="CK12" t="s">
        <v>69</v>
      </c>
      <c r="CL12" t="s">
        <v>69</v>
      </c>
    </row>
    <row r="13" spans="1:90" x14ac:dyDescent="0.25">
      <c r="A13">
        <v>7</v>
      </c>
      <c r="B13" t="str">
        <f>HYPERLINK("http://www.ncbi.nlm.nih.gov/protein/NP_001034545.1","NP_001034545.1")</f>
        <v>NP_001034545.1</v>
      </c>
      <c r="C13">
        <v>74287</v>
      </c>
      <c r="D13" t="str">
        <f>HYPERLINK("http://www.ncbi.nlm.nih.gov/Taxonomy/Browser/wwwtax.cgi?mode=Info&amp;id=9685&amp;lvl=3&amp;lin=f&amp;keep=1&amp;srchmode=1&amp;unlock","9685")</f>
        <v>9685</v>
      </c>
      <c r="E13" t="s">
        <v>66</v>
      </c>
      <c r="F13" t="str">
        <f>HYPERLINK("http://www.ncbi.nlm.nih.gov/Taxonomy/Browser/wwwtax.cgi?mode=Info&amp;id=9685&amp;lvl=3&amp;lin=f&amp;keep=1&amp;srchmode=1&amp;unlock","Felis catus")</f>
        <v>Felis catus</v>
      </c>
      <c r="G13" t="s">
        <v>86</v>
      </c>
      <c r="H13" t="str">
        <f>HYPERLINK("http://www.ncbi.nlm.nih.gov/protein/NP_001034545.1","angiotensin-converting enzyme 2 precursor")</f>
        <v>angiotensin-converting enzyme 2 precursor</v>
      </c>
      <c r="I13" t="s">
        <v>154</v>
      </c>
      <c r="J13" t="s">
        <v>69</v>
      </c>
      <c r="K13">
        <v>19</v>
      </c>
      <c r="L13" t="s">
        <v>155</v>
      </c>
      <c r="M13" t="s">
        <v>69</v>
      </c>
      <c r="N13" t="s">
        <v>150</v>
      </c>
      <c r="O13" t="s">
        <v>69</v>
      </c>
      <c r="P13">
        <v>105.093</v>
      </c>
      <c r="Q13" t="s">
        <v>69</v>
      </c>
      <c r="R13" t="s">
        <v>69</v>
      </c>
      <c r="S13">
        <v>24</v>
      </c>
      <c r="T13" t="s">
        <v>72</v>
      </c>
      <c r="U13" t="s">
        <v>153</v>
      </c>
      <c r="V13" t="s">
        <v>71</v>
      </c>
      <c r="W13" t="s">
        <v>153</v>
      </c>
      <c r="X13">
        <v>131.17500000000001</v>
      </c>
      <c r="Y13" t="s">
        <v>69</v>
      </c>
      <c r="Z13" t="s">
        <v>69</v>
      </c>
      <c r="AA13">
        <v>30</v>
      </c>
      <c r="AB13" t="s">
        <v>119</v>
      </c>
      <c r="AC13" t="s">
        <v>153</v>
      </c>
      <c r="AD13" t="s">
        <v>120</v>
      </c>
      <c r="AE13" t="s">
        <v>69</v>
      </c>
      <c r="AF13">
        <v>147.131</v>
      </c>
      <c r="AG13" t="s">
        <v>69</v>
      </c>
      <c r="AH13" t="s">
        <v>69</v>
      </c>
      <c r="AI13">
        <v>31</v>
      </c>
      <c r="AJ13" t="s">
        <v>76</v>
      </c>
      <c r="AK13" t="s">
        <v>69</v>
      </c>
      <c r="AL13" t="s">
        <v>75</v>
      </c>
      <c r="AM13" t="s">
        <v>69</v>
      </c>
      <c r="AN13">
        <v>146.18899999999999</v>
      </c>
      <c r="AO13" t="s">
        <v>69</v>
      </c>
      <c r="AP13" t="s">
        <v>69</v>
      </c>
      <c r="AQ13">
        <v>35</v>
      </c>
      <c r="AR13" t="s">
        <v>119</v>
      </c>
      <c r="AS13" t="s">
        <v>69</v>
      </c>
      <c r="AT13" t="s">
        <v>120</v>
      </c>
      <c r="AU13" t="s">
        <v>69</v>
      </c>
      <c r="AV13">
        <v>147.131</v>
      </c>
      <c r="AW13" t="s">
        <v>69</v>
      </c>
      <c r="AX13" t="s">
        <v>69</v>
      </c>
      <c r="AY13">
        <v>38</v>
      </c>
      <c r="AZ13" t="s">
        <v>119</v>
      </c>
      <c r="BA13" t="s">
        <v>153</v>
      </c>
      <c r="BB13" t="s">
        <v>120</v>
      </c>
      <c r="BC13" t="s">
        <v>69</v>
      </c>
      <c r="BD13">
        <v>147.131</v>
      </c>
      <c r="BE13" t="s">
        <v>69</v>
      </c>
      <c r="BF13" t="s">
        <v>69</v>
      </c>
      <c r="BG13">
        <v>41</v>
      </c>
      <c r="BH13" t="s">
        <v>69</v>
      </c>
      <c r="BI13" t="s">
        <v>69</v>
      </c>
      <c r="BJ13" t="s">
        <v>152</v>
      </c>
      <c r="BK13" t="s">
        <v>69</v>
      </c>
      <c r="BL13">
        <v>181.191</v>
      </c>
      <c r="BM13" t="s">
        <v>69</v>
      </c>
      <c r="BN13" t="s">
        <v>69</v>
      </c>
      <c r="BO13">
        <v>42</v>
      </c>
      <c r="BP13" t="s">
        <v>147</v>
      </c>
      <c r="BQ13" t="s">
        <v>69</v>
      </c>
      <c r="BR13" t="s">
        <v>148</v>
      </c>
      <c r="BS13" t="s">
        <v>69</v>
      </c>
      <c r="BT13">
        <v>146.14599999999999</v>
      </c>
      <c r="BU13" t="s">
        <v>69</v>
      </c>
      <c r="BV13" t="s">
        <v>69</v>
      </c>
      <c r="BW13">
        <v>83</v>
      </c>
      <c r="BX13" t="s">
        <v>69</v>
      </c>
      <c r="BY13" t="s">
        <v>69</v>
      </c>
      <c r="BZ13" t="s">
        <v>152</v>
      </c>
      <c r="CA13" t="s">
        <v>69</v>
      </c>
      <c r="CB13">
        <v>181.191</v>
      </c>
      <c r="CC13" t="s">
        <v>69</v>
      </c>
      <c r="CD13" t="s">
        <v>69</v>
      </c>
      <c r="CE13">
        <v>353</v>
      </c>
      <c r="CF13" t="s">
        <v>76</v>
      </c>
      <c r="CG13" t="s">
        <v>69</v>
      </c>
      <c r="CH13" t="s">
        <v>75</v>
      </c>
      <c r="CI13" t="s">
        <v>69</v>
      </c>
      <c r="CJ13">
        <v>146.18899999999999</v>
      </c>
      <c r="CK13" t="s">
        <v>69</v>
      </c>
      <c r="CL13" t="s">
        <v>69</v>
      </c>
    </row>
    <row r="14" spans="1:90" x14ac:dyDescent="0.25">
      <c r="A14">
        <v>7</v>
      </c>
      <c r="B14" t="str">
        <f>HYPERLINK("http://www.ncbi.nlm.nih.gov/protein/XP_030160839.1","XP_030160839.1")</f>
        <v>XP_030160839.1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HYPERLINK("http://www.ncbi.nlm.nih.gov/protein/XP_030160839.1","angiotensin-converting enzyme 2")</f>
        <v>angiotensin-converting enzyme 2</v>
      </c>
      <c r="I14" t="s">
        <v>154</v>
      </c>
      <c r="J14" t="s">
        <v>69</v>
      </c>
      <c r="K14">
        <v>19</v>
      </c>
      <c r="L14" t="s">
        <v>155</v>
      </c>
      <c r="M14" t="s">
        <v>69</v>
      </c>
      <c r="N14" t="s">
        <v>150</v>
      </c>
      <c r="O14" t="s">
        <v>69</v>
      </c>
      <c r="P14">
        <v>105.093</v>
      </c>
      <c r="Q14" t="s">
        <v>69</v>
      </c>
      <c r="R14" t="s">
        <v>69</v>
      </c>
      <c r="S14">
        <v>24</v>
      </c>
      <c r="T14" t="s">
        <v>72</v>
      </c>
      <c r="U14" t="s">
        <v>153</v>
      </c>
      <c r="V14" t="s">
        <v>71</v>
      </c>
      <c r="W14" t="s">
        <v>153</v>
      </c>
      <c r="X14">
        <v>131.17500000000001</v>
      </c>
      <c r="Y14" t="s">
        <v>69</v>
      </c>
      <c r="Z14" t="s">
        <v>69</v>
      </c>
      <c r="AA14">
        <v>30</v>
      </c>
      <c r="AB14" t="s">
        <v>119</v>
      </c>
      <c r="AC14" t="s">
        <v>153</v>
      </c>
      <c r="AD14" t="s">
        <v>120</v>
      </c>
      <c r="AE14" t="s">
        <v>69</v>
      </c>
      <c r="AF14">
        <v>147.131</v>
      </c>
      <c r="AG14" t="s">
        <v>69</v>
      </c>
      <c r="AH14" t="s">
        <v>69</v>
      </c>
      <c r="AI14">
        <v>31</v>
      </c>
      <c r="AJ14" t="s">
        <v>76</v>
      </c>
      <c r="AK14" t="s">
        <v>69</v>
      </c>
      <c r="AL14" t="s">
        <v>75</v>
      </c>
      <c r="AM14" t="s">
        <v>69</v>
      </c>
      <c r="AN14">
        <v>146.18899999999999</v>
      </c>
      <c r="AO14" t="s">
        <v>69</v>
      </c>
      <c r="AP14" t="s">
        <v>69</v>
      </c>
      <c r="AQ14">
        <v>35</v>
      </c>
      <c r="AR14" t="s">
        <v>119</v>
      </c>
      <c r="AS14" t="s">
        <v>69</v>
      </c>
      <c r="AT14" t="s">
        <v>120</v>
      </c>
      <c r="AU14" t="s">
        <v>69</v>
      </c>
      <c r="AV14">
        <v>147.131</v>
      </c>
      <c r="AW14" t="s">
        <v>69</v>
      </c>
      <c r="AX14" t="s">
        <v>69</v>
      </c>
      <c r="AY14">
        <v>38</v>
      </c>
      <c r="AZ14" t="s">
        <v>119</v>
      </c>
      <c r="BA14" t="s">
        <v>153</v>
      </c>
      <c r="BB14" t="s">
        <v>120</v>
      </c>
      <c r="BC14" t="s">
        <v>69</v>
      </c>
      <c r="BD14">
        <v>147.131</v>
      </c>
      <c r="BE14" t="s">
        <v>69</v>
      </c>
      <c r="BF14" t="s">
        <v>69</v>
      </c>
      <c r="BG14">
        <v>41</v>
      </c>
      <c r="BH14" t="s">
        <v>69</v>
      </c>
      <c r="BI14" t="s">
        <v>69</v>
      </c>
      <c r="BJ14" t="s">
        <v>152</v>
      </c>
      <c r="BK14" t="s">
        <v>69</v>
      </c>
      <c r="BL14">
        <v>181.191</v>
      </c>
      <c r="BM14" t="s">
        <v>69</v>
      </c>
      <c r="BN14" t="s">
        <v>69</v>
      </c>
      <c r="BO14">
        <v>42</v>
      </c>
      <c r="BP14" t="s">
        <v>147</v>
      </c>
      <c r="BQ14" t="s">
        <v>69</v>
      </c>
      <c r="BR14" t="s">
        <v>148</v>
      </c>
      <c r="BS14" t="s">
        <v>69</v>
      </c>
      <c r="BT14">
        <v>146.14599999999999</v>
      </c>
      <c r="BU14" t="s">
        <v>69</v>
      </c>
      <c r="BV14" t="s">
        <v>69</v>
      </c>
      <c r="BW14">
        <v>83</v>
      </c>
      <c r="BX14" t="s">
        <v>69</v>
      </c>
      <c r="BY14" t="s">
        <v>69</v>
      </c>
      <c r="BZ14" t="s">
        <v>152</v>
      </c>
      <c r="CA14" t="s">
        <v>69</v>
      </c>
      <c r="CB14">
        <v>181.191</v>
      </c>
      <c r="CC14" t="s">
        <v>69</v>
      </c>
      <c r="CD14" t="s">
        <v>69</v>
      </c>
      <c r="CE14">
        <v>353</v>
      </c>
      <c r="CF14" t="s">
        <v>76</v>
      </c>
      <c r="CG14" t="s">
        <v>69</v>
      </c>
      <c r="CH14" t="s">
        <v>75</v>
      </c>
      <c r="CI14" t="s">
        <v>69</v>
      </c>
      <c r="CJ14">
        <v>146.18899999999999</v>
      </c>
      <c r="CK14" t="s">
        <v>69</v>
      </c>
      <c r="CL14" t="s">
        <v>69</v>
      </c>
    </row>
    <row r="15" spans="1:90" x14ac:dyDescent="0.25">
      <c r="A15">
        <v>7</v>
      </c>
      <c r="B15" t="str">
        <f>HYPERLINK("http://www.ncbi.nlm.nih.gov/protein/XP_005074266.1","XP_005074266.1")</f>
        <v>XP_005074266.1</v>
      </c>
      <c r="C15">
        <v>54410</v>
      </c>
      <c r="D15" t="str">
        <f>HYPERLINK("http://www.ncbi.nlm.nih.gov/Taxonomy/Browser/wwwtax.cgi?mode=Info&amp;id=10036&amp;lvl=3&amp;lin=f&amp;keep=1&amp;srchmode=1&amp;unlock","10036")</f>
        <v>10036</v>
      </c>
      <c r="E15" t="s">
        <v>66</v>
      </c>
      <c r="F15" t="str">
        <f>HYPERLINK("http://www.ncbi.nlm.nih.gov/Taxonomy/Browser/wwwtax.cgi?mode=Info&amp;id=10036&amp;lvl=3&amp;lin=f&amp;keep=1&amp;srchmode=1&amp;unlock","Mesocricetus auratus")</f>
        <v>Mesocricetus auratus</v>
      </c>
      <c r="G15" t="s">
        <v>87</v>
      </c>
      <c r="H15" t="str">
        <f>HYPERLINK("http://www.ncbi.nlm.nih.gov/protein/XP_005074266.1","angiotensin-converting enzyme 2")</f>
        <v>angiotensin-converting enzyme 2</v>
      </c>
      <c r="I15" t="s">
        <v>154</v>
      </c>
      <c r="J15" t="s">
        <v>69</v>
      </c>
      <c r="K15">
        <v>19</v>
      </c>
      <c r="L15" t="s">
        <v>155</v>
      </c>
      <c r="M15" t="s">
        <v>69</v>
      </c>
      <c r="N15" t="s">
        <v>150</v>
      </c>
      <c r="O15" t="s">
        <v>69</v>
      </c>
      <c r="P15">
        <v>105.093</v>
      </c>
      <c r="Q15" t="s">
        <v>69</v>
      </c>
      <c r="R15" t="s">
        <v>69</v>
      </c>
      <c r="S15">
        <v>24</v>
      </c>
      <c r="T15" t="s">
        <v>147</v>
      </c>
      <c r="U15" t="s">
        <v>69</v>
      </c>
      <c r="V15" t="s">
        <v>148</v>
      </c>
      <c r="W15" t="s">
        <v>69</v>
      </c>
      <c r="X15">
        <v>146.14599999999999</v>
      </c>
      <c r="Y15" t="s">
        <v>69</v>
      </c>
      <c r="Z15" t="s">
        <v>69</v>
      </c>
      <c r="AA15">
        <v>30</v>
      </c>
      <c r="AB15" t="s">
        <v>156</v>
      </c>
      <c r="AC15" t="s">
        <v>69</v>
      </c>
      <c r="AD15" t="s">
        <v>120</v>
      </c>
      <c r="AE15" t="s">
        <v>69</v>
      </c>
      <c r="AF15">
        <v>133.10400000000001</v>
      </c>
      <c r="AG15" t="s">
        <v>69</v>
      </c>
      <c r="AH15" t="s">
        <v>69</v>
      </c>
      <c r="AI15">
        <v>31</v>
      </c>
      <c r="AJ15" t="s">
        <v>76</v>
      </c>
      <c r="AK15" t="s">
        <v>69</v>
      </c>
      <c r="AL15" t="s">
        <v>75</v>
      </c>
      <c r="AM15" t="s">
        <v>69</v>
      </c>
      <c r="AN15">
        <v>146.18899999999999</v>
      </c>
      <c r="AO15" t="s">
        <v>69</v>
      </c>
      <c r="AP15" t="s">
        <v>69</v>
      </c>
      <c r="AQ15">
        <v>35</v>
      </c>
      <c r="AR15" t="s">
        <v>119</v>
      </c>
      <c r="AS15" t="s">
        <v>69</v>
      </c>
      <c r="AT15" t="s">
        <v>120</v>
      </c>
      <c r="AU15" t="s">
        <v>69</v>
      </c>
      <c r="AV15">
        <v>147.131</v>
      </c>
      <c r="AW15" t="s">
        <v>69</v>
      </c>
      <c r="AX15" t="s">
        <v>69</v>
      </c>
      <c r="AY15">
        <v>38</v>
      </c>
      <c r="AZ15" t="s">
        <v>156</v>
      </c>
      <c r="BA15" t="s">
        <v>69</v>
      </c>
      <c r="BB15" t="s">
        <v>120</v>
      </c>
      <c r="BC15" t="s">
        <v>69</v>
      </c>
      <c r="BD15">
        <v>133.10400000000001</v>
      </c>
      <c r="BE15" t="s">
        <v>69</v>
      </c>
      <c r="BF15" t="s">
        <v>69</v>
      </c>
      <c r="BG15">
        <v>41</v>
      </c>
      <c r="BH15" t="s">
        <v>69</v>
      </c>
      <c r="BI15" t="s">
        <v>69</v>
      </c>
      <c r="BJ15" t="s">
        <v>152</v>
      </c>
      <c r="BK15" t="s">
        <v>69</v>
      </c>
      <c r="BL15">
        <v>181.191</v>
      </c>
      <c r="BM15" t="s">
        <v>69</v>
      </c>
      <c r="BN15" t="s">
        <v>69</v>
      </c>
      <c r="BO15">
        <v>42</v>
      </c>
      <c r="BP15" t="s">
        <v>147</v>
      </c>
      <c r="BQ15" t="s">
        <v>69</v>
      </c>
      <c r="BR15" t="s">
        <v>148</v>
      </c>
      <c r="BS15" t="s">
        <v>69</v>
      </c>
      <c r="BT15">
        <v>146.14599999999999</v>
      </c>
      <c r="BU15" t="s">
        <v>69</v>
      </c>
      <c r="BV15" t="s">
        <v>69</v>
      </c>
      <c r="BW15">
        <v>83</v>
      </c>
      <c r="BX15" t="s">
        <v>69</v>
      </c>
      <c r="BY15" t="s">
        <v>69</v>
      </c>
      <c r="BZ15" t="s">
        <v>152</v>
      </c>
      <c r="CA15" t="s">
        <v>69</v>
      </c>
      <c r="CB15">
        <v>181.191</v>
      </c>
      <c r="CC15" t="s">
        <v>69</v>
      </c>
      <c r="CD15" t="s">
        <v>69</v>
      </c>
      <c r="CE15">
        <v>353</v>
      </c>
      <c r="CF15" t="s">
        <v>76</v>
      </c>
      <c r="CG15" t="s">
        <v>69</v>
      </c>
      <c r="CH15" t="s">
        <v>75</v>
      </c>
      <c r="CI15" t="s">
        <v>69</v>
      </c>
      <c r="CJ15">
        <v>146.18899999999999</v>
      </c>
      <c r="CK15" t="s">
        <v>69</v>
      </c>
      <c r="CL15" t="s">
        <v>69</v>
      </c>
    </row>
    <row r="16" spans="1:90" x14ac:dyDescent="0.25">
      <c r="A16">
        <v>7</v>
      </c>
      <c r="B16" t="str">
        <f>HYPERLINK("http://www.ncbi.nlm.nih.gov/protein/QJS40032.1","QJS40032.1")</f>
        <v>QJS40032.1</v>
      </c>
      <c r="C16">
        <v>136357</v>
      </c>
      <c r="D16" t="str">
        <f>HYPERLINK("http://www.ncbi.nlm.nih.gov/Taxonomy/Browser/wwwtax.cgi?mode=Info&amp;id=9615&amp;lvl=3&amp;lin=f&amp;keep=1&amp;srchmode=1&amp;unlock","9615")</f>
        <v>9615</v>
      </c>
      <c r="E16" t="s">
        <v>66</v>
      </c>
      <c r="F16" t="str">
        <f>HYPERLINK("http://www.ncbi.nlm.nih.gov/Taxonomy/Browser/wwwtax.cgi?mode=Info&amp;id=9615&amp;lvl=3&amp;lin=f&amp;keep=1&amp;srchmode=1&amp;unlock","Canis lupus familiaris")</f>
        <v>Canis lupus familiaris</v>
      </c>
      <c r="G16" t="s">
        <v>84</v>
      </c>
      <c r="H16" t="str">
        <f>HYPERLINK("http://www.ncbi.nlm.nih.gov/protein/QJS40032.1","angiotensin I converting enzyme 2")</f>
        <v>angiotensin I converting enzyme 2</v>
      </c>
      <c r="I16" t="s">
        <v>154</v>
      </c>
      <c r="J16" t="s">
        <v>69</v>
      </c>
      <c r="K16">
        <v>19</v>
      </c>
      <c r="L16" t="s">
        <v>155</v>
      </c>
      <c r="M16" t="s">
        <v>69</v>
      </c>
      <c r="N16" t="s">
        <v>150</v>
      </c>
      <c r="O16" t="s">
        <v>69</v>
      </c>
      <c r="P16">
        <v>105.093</v>
      </c>
      <c r="Q16" t="s">
        <v>69</v>
      </c>
      <c r="R16" t="s">
        <v>69</v>
      </c>
      <c r="S16">
        <v>23</v>
      </c>
      <c r="T16" t="s">
        <v>72</v>
      </c>
      <c r="U16" t="s">
        <v>153</v>
      </c>
      <c r="V16" t="s">
        <v>71</v>
      </c>
      <c r="W16" t="s">
        <v>153</v>
      </c>
      <c r="X16">
        <v>131.17500000000001</v>
      </c>
      <c r="Y16" t="s">
        <v>69</v>
      </c>
      <c r="Z16" t="s">
        <v>69</v>
      </c>
      <c r="AA16">
        <v>29</v>
      </c>
      <c r="AB16" t="s">
        <v>119</v>
      </c>
      <c r="AC16" t="s">
        <v>153</v>
      </c>
      <c r="AD16" t="s">
        <v>120</v>
      </c>
      <c r="AE16" t="s">
        <v>69</v>
      </c>
      <c r="AF16">
        <v>147.131</v>
      </c>
      <c r="AG16" t="s">
        <v>69</v>
      </c>
      <c r="AH16" t="s">
        <v>69</v>
      </c>
      <c r="AI16">
        <v>30</v>
      </c>
      <c r="AJ16" t="s">
        <v>76</v>
      </c>
      <c r="AK16" t="s">
        <v>69</v>
      </c>
      <c r="AL16" t="s">
        <v>75</v>
      </c>
      <c r="AM16" t="s">
        <v>69</v>
      </c>
      <c r="AN16">
        <v>146.18899999999999</v>
      </c>
      <c r="AO16" t="s">
        <v>69</v>
      </c>
      <c r="AP16" t="s">
        <v>69</v>
      </c>
      <c r="AQ16">
        <v>34</v>
      </c>
      <c r="AR16" t="s">
        <v>119</v>
      </c>
      <c r="AS16" t="s">
        <v>69</v>
      </c>
      <c r="AT16" t="s">
        <v>120</v>
      </c>
      <c r="AU16" t="s">
        <v>69</v>
      </c>
      <c r="AV16">
        <v>147.131</v>
      </c>
      <c r="AW16" t="s">
        <v>69</v>
      </c>
      <c r="AX16" t="s">
        <v>69</v>
      </c>
      <c r="AY16">
        <v>37</v>
      </c>
      <c r="AZ16" t="s">
        <v>119</v>
      </c>
      <c r="BA16" t="s">
        <v>153</v>
      </c>
      <c r="BB16" t="s">
        <v>120</v>
      </c>
      <c r="BC16" t="s">
        <v>69</v>
      </c>
      <c r="BD16">
        <v>147.131</v>
      </c>
      <c r="BE16" t="s">
        <v>69</v>
      </c>
      <c r="BF16" t="s">
        <v>69</v>
      </c>
      <c r="BG16">
        <v>40</v>
      </c>
      <c r="BH16" t="s">
        <v>69</v>
      </c>
      <c r="BI16" t="s">
        <v>69</v>
      </c>
      <c r="BJ16" t="s">
        <v>152</v>
      </c>
      <c r="BK16" t="s">
        <v>69</v>
      </c>
      <c r="BL16">
        <v>181.191</v>
      </c>
      <c r="BM16" t="s">
        <v>69</v>
      </c>
      <c r="BN16" t="s">
        <v>69</v>
      </c>
      <c r="BO16">
        <v>41</v>
      </c>
      <c r="BP16" t="s">
        <v>147</v>
      </c>
      <c r="BQ16" t="s">
        <v>69</v>
      </c>
      <c r="BR16" t="s">
        <v>148</v>
      </c>
      <c r="BS16" t="s">
        <v>69</v>
      </c>
      <c r="BT16">
        <v>146.14599999999999</v>
      </c>
      <c r="BU16" t="s">
        <v>69</v>
      </c>
      <c r="BV16" t="s">
        <v>69</v>
      </c>
      <c r="BW16">
        <v>82</v>
      </c>
      <c r="BX16" t="s">
        <v>69</v>
      </c>
      <c r="BY16" t="s">
        <v>69</v>
      </c>
      <c r="BZ16" t="s">
        <v>152</v>
      </c>
      <c r="CA16" t="s">
        <v>69</v>
      </c>
      <c r="CB16">
        <v>181.191</v>
      </c>
      <c r="CC16" t="s">
        <v>69</v>
      </c>
      <c r="CD16" t="s">
        <v>69</v>
      </c>
      <c r="CE16">
        <v>352</v>
      </c>
      <c r="CF16" t="s">
        <v>76</v>
      </c>
      <c r="CG16" t="s">
        <v>69</v>
      </c>
      <c r="CH16" t="s">
        <v>75</v>
      </c>
      <c r="CI16" t="s">
        <v>69</v>
      </c>
      <c r="CJ16">
        <v>146.18899999999999</v>
      </c>
      <c r="CK16" t="s">
        <v>69</v>
      </c>
      <c r="CL16" t="s">
        <v>69</v>
      </c>
    </row>
    <row r="17" spans="1:90" x14ac:dyDescent="0.25">
      <c r="A17">
        <v>7</v>
      </c>
      <c r="B17" t="str">
        <f>HYPERLINK("http://www.ncbi.nlm.nih.gov/protein/XP_017505752.1","XP_017505752.1")</f>
        <v>XP_017505752.1</v>
      </c>
      <c r="C17">
        <v>56064</v>
      </c>
      <c r="D17" t="str">
        <f>HYPERLINK("http://www.ncbi.nlm.nih.gov/Taxonomy/Browser/wwwtax.cgi?mode=Info&amp;id=9974&amp;lvl=3&amp;lin=f&amp;keep=1&amp;srchmode=1&amp;unlock","9974")</f>
        <v>9974</v>
      </c>
      <c r="E17" t="s">
        <v>66</v>
      </c>
      <c r="F17" t="str">
        <f>HYPERLINK("http://www.ncbi.nlm.nih.gov/Taxonomy/Browser/wwwtax.cgi?mode=Info&amp;id=9974&amp;lvl=3&amp;lin=f&amp;keep=1&amp;srchmode=1&amp;unlock","Manis javanica")</f>
        <v>Manis javanica</v>
      </c>
      <c r="G17" t="s">
        <v>100</v>
      </c>
      <c r="H17" t="str">
        <f>HYPERLINK("http://www.ncbi.nlm.nih.gov/protein/XP_017505752.1","angiotensin-converting enzyme 2")</f>
        <v>angiotensin-converting enzyme 2</v>
      </c>
      <c r="I17" t="s">
        <v>154</v>
      </c>
      <c r="J17" t="s">
        <v>69</v>
      </c>
      <c r="K17">
        <v>19</v>
      </c>
      <c r="L17" t="s">
        <v>155</v>
      </c>
      <c r="M17" t="s">
        <v>69</v>
      </c>
      <c r="N17" t="s">
        <v>150</v>
      </c>
      <c r="O17" t="s">
        <v>69</v>
      </c>
      <c r="P17">
        <v>105.093</v>
      </c>
      <c r="Q17" t="s">
        <v>69</v>
      </c>
      <c r="R17" t="s">
        <v>69</v>
      </c>
      <c r="S17">
        <v>24</v>
      </c>
      <c r="T17" t="s">
        <v>119</v>
      </c>
      <c r="U17" t="s">
        <v>153</v>
      </c>
      <c r="V17" t="s">
        <v>120</v>
      </c>
      <c r="W17" t="s">
        <v>153</v>
      </c>
      <c r="X17">
        <v>147.131</v>
      </c>
      <c r="Y17" t="s">
        <v>69</v>
      </c>
      <c r="Z17" t="s">
        <v>69</v>
      </c>
      <c r="AA17">
        <v>30</v>
      </c>
      <c r="AB17" t="s">
        <v>119</v>
      </c>
      <c r="AC17" t="s">
        <v>153</v>
      </c>
      <c r="AD17" t="s">
        <v>120</v>
      </c>
      <c r="AE17" t="s">
        <v>69</v>
      </c>
      <c r="AF17">
        <v>147.131</v>
      </c>
      <c r="AG17" t="s">
        <v>69</v>
      </c>
      <c r="AH17" t="s">
        <v>69</v>
      </c>
      <c r="AI17">
        <v>31</v>
      </c>
      <c r="AJ17" t="s">
        <v>76</v>
      </c>
      <c r="AK17" t="s">
        <v>69</v>
      </c>
      <c r="AL17" t="s">
        <v>75</v>
      </c>
      <c r="AM17" t="s">
        <v>69</v>
      </c>
      <c r="AN17">
        <v>146.18899999999999</v>
      </c>
      <c r="AO17" t="s">
        <v>69</v>
      </c>
      <c r="AP17" t="s">
        <v>69</v>
      </c>
      <c r="AQ17">
        <v>35</v>
      </c>
      <c r="AR17" t="s">
        <v>119</v>
      </c>
      <c r="AS17" t="s">
        <v>69</v>
      </c>
      <c r="AT17" t="s">
        <v>120</v>
      </c>
      <c r="AU17" t="s">
        <v>69</v>
      </c>
      <c r="AV17">
        <v>147.131</v>
      </c>
      <c r="AW17" t="s">
        <v>69</v>
      </c>
      <c r="AX17" t="s">
        <v>69</v>
      </c>
      <c r="AY17">
        <v>38</v>
      </c>
      <c r="AZ17" t="s">
        <v>119</v>
      </c>
      <c r="BA17" t="s">
        <v>153</v>
      </c>
      <c r="BB17" t="s">
        <v>120</v>
      </c>
      <c r="BC17" t="s">
        <v>69</v>
      </c>
      <c r="BD17">
        <v>147.131</v>
      </c>
      <c r="BE17" t="s">
        <v>69</v>
      </c>
      <c r="BF17" t="s">
        <v>69</v>
      </c>
      <c r="BG17">
        <v>41</v>
      </c>
      <c r="BH17" t="s">
        <v>69</v>
      </c>
      <c r="BI17" t="s">
        <v>69</v>
      </c>
      <c r="BJ17" t="s">
        <v>152</v>
      </c>
      <c r="BK17" t="s">
        <v>69</v>
      </c>
      <c r="BL17">
        <v>181.191</v>
      </c>
      <c r="BM17" t="s">
        <v>69</v>
      </c>
      <c r="BN17" t="s">
        <v>69</v>
      </c>
      <c r="BO17">
        <v>42</v>
      </c>
      <c r="BP17" t="s">
        <v>147</v>
      </c>
      <c r="BQ17" t="s">
        <v>69</v>
      </c>
      <c r="BR17" t="s">
        <v>148</v>
      </c>
      <c r="BS17" t="s">
        <v>69</v>
      </c>
      <c r="BT17">
        <v>146.14599999999999</v>
      </c>
      <c r="BU17" t="s">
        <v>69</v>
      </c>
      <c r="BV17" t="s">
        <v>69</v>
      </c>
      <c r="BW17">
        <v>83</v>
      </c>
      <c r="BX17" t="s">
        <v>69</v>
      </c>
      <c r="BY17" t="s">
        <v>69</v>
      </c>
      <c r="BZ17" t="s">
        <v>152</v>
      </c>
      <c r="CA17" t="s">
        <v>69</v>
      </c>
      <c r="CB17">
        <v>181.191</v>
      </c>
      <c r="CC17" t="s">
        <v>69</v>
      </c>
      <c r="CD17" t="s">
        <v>69</v>
      </c>
      <c r="CE17">
        <v>353</v>
      </c>
      <c r="CF17" t="s">
        <v>76</v>
      </c>
      <c r="CG17" t="s">
        <v>69</v>
      </c>
      <c r="CH17" t="s">
        <v>75</v>
      </c>
      <c r="CI17" t="s">
        <v>69</v>
      </c>
      <c r="CJ17">
        <v>146.18899999999999</v>
      </c>
      <c r="CK17" t="s">
        <v>69</v>
      </c>
      <c r="CL17" t="s">
        <v>69</v>
      </c>
    </row>
    <row r="18" spans="1:90" x14ac:dyDescent="0.25">
      <c r="A18">
        <v>7</v>
      </c>
      <c r="B18" t="str">
        <f>HYPERLINK("http://www.ncbi.nlm.nih.gov/protein/XP_006973269.1","XP_006973269.1")</f>
        <v>XP_006973269.1</v>
      </c>
      <c r="C18">
        <v>54287</v>
      </c>
      <c r="D18" t="str">
        <f>HYPERLINK("http://www.ncbi.nlm.nih.gov/Taxonomy/Browser/wwwtax.cgi?mode=Info&amp;id=230844&amp;lvl=3&amp;lin=f&amp;keep=1&amp;srchmode=1&amp;unlock","230844")</f>
        <v>230844</v>
      </c>
      <c r="E18" t="s">
        <v>66</v>
      </c>
      <c r="F18" t="str">
        <f>HYPERLINK("http://www.ncbi.nlm.nih.gov/Taxonomy/Browser/wwwtax.cgi?mode=Info&amp;id=230844&amp;lvl=3&amp;lin=f&amp;keep=1&amp;srchmode=1&amp;unlock","Peromyscus maniculatus bairdii")</f>
        <v>Peromyscus maniculatus bairdii</v>
      </c>
      <c r="G18" t="s">
        <v>88</v>
      </c>
      <c r="H18" t="str">
        <f>HYPERLINK("http://www.ncbi.nlm.nih.gov/protein/XP_006973269.1","angiotensin-converting enzyme 2")</f>
        <v>angiotensin-converting enzyme 2</v>
      </c>
      <c r="I18" t="s">
        <v>154</v>
      </c>
      <c r="J18" t="s">
        <v>69</v>
      </c>
      <c r="K18">
        <v>19</v>
      </c>
      <c r="L18" t="s">
        <v>155</v>
      </c>
      <c r="M18" t="s">
        <v>69</v>
      </c>
      <c r="N18" t="s">
        <v>150</v>
      </c>
      <c r="O18" t="s">
        <v>69</v>
      </c>
      <c r="P18">
        <v>105.093</v>
      </c>
      <c r="Q18" t="s">
        <v>69</v>
      </c>
      <c r="R18" t="s">
        <v>69</v>
      </c>
      <c r="S18">
        <v>24</v>
      </c>
      <c r="T18" t="s">
        <v>147</v>
      </c>
      <c r="U18" t="s">
        <v>69</v>
      </c>
      <c r="V18" t="s">
        <v>148</v>
      </c>
      <c r="W18" t="s">
        <v>69</v>
      </c>
      <c r="X18">
        <v>146.14599999999999</v>
      </c>
      <c r="Y18" t="s">
        <v>69</v>
      </c>
      <c r="Z18" t="s">
        <v>69</v>
      </c>
      <c r="AA18">
        <v>30</v>
      </c>
      <c r="AB18" t="s">
        <v>156</v>
      </c>
      <c r="AC18" t="s">
        <v>69</v>
      </c>
      <c r="AD18" t="s">
        <v>120</v>
      </c>
      <c r="AE18" t="s">
        <v>69</v>
      </c>
      <c r="AF18">
        <v>133.10400000000001</v>
      </c>
      <c r="AG18" t="s">
        <v>69</v>
      </c>
      <c r="AH18" t="s">
        <v>69</v>
      </c>
      <c r="AI18">
        <v>31</v>
      </c>
      <c r="AJ18" t="s">
        <v>76</v>
      </c>
      <c r="AK18" t="s">
        <v>69</v>
      </c>
      <c r="AL18" t="s">
        <v>75</v>
      </c>
      <c r="AM18" t="s">
        <v>69</v>
      </c>
      <c r="AN18">
        <v>146.18899999999999</v>
      </c>
      <c r="AO18" t="s">
        <v>69</v>
      </c>
      <c r="AP18" t="s">
        <v>69</v>
      </c>
      <c r="AQ18">
        <v>35</v>
      </c>
      <c r="AR18" t="s">
        <v>119</v>
      </c>
      <c r="AS18" t="s">
        <v>69</v>
      </c>
      <c r="AT18" t="s">
        <v>120</v>
      </c>
      <c r="AU18" t="s">
        <v>69</v>
      </c>
      <c r="AV18">
        <v>147.131</v>
      </c>
      <c r="AW18" t="s">
        <v>69</v>
      </c>
      <c r="AX18" t="s">
        <v>69</v>
      </c>
      <c r="AY18">
        <v>38</v>
      </c>
      <c r="AZ18" t="s">
        <v>156</v>
      </c>
      <c r="BA18" t="s">
        <v>69</v>
      </c>
      <c r="BB18" t="s">
        <v>120</v>
      </c>
      <c r="BC18" t="s">
        <v>69</v>
      </c>
      <c r="BD18">
        <v>133.10400000000001</v>
      </c>
      <c r="BE18" t="s">
        <v>69</v>
      </c>
      <c r="BF18" t="s">
        <v>69</v>
      </c>
      <c r="BG18">
        <v>41</v>
      </c>
      <c r="BH18" t="s">
        <v>69</v>
      </c>
      <c r="BI18" t="s">
        <v>69</v>
      </c>
      <c r="BJ18" t="s">
        <v>152</v>
      </c>
      <c r="BK18" t="s">
        <v>69</v>
      </c>
      <c r="BL18">
        <v>181.191</v>
      </c>
      <c r="BM18" t="s">
        <v>69</v>
      </c>
      <c r="BN18" t="s">
        <v>69</v>
      </c>
      <c r="BO18">
        <v>42</v>
      </c>
      <c r="BP18" t="s">
        <v>147</v>
      </c>
      <c r="BQ18" t="s">
        <v>69</v>
      </c>
      <c r="BR18" t="s">
        <v>148</v>
      </c>
      <c r="BS18" t="s">
        <v>69</v>
      </c>
      <c r="BT18">
        <v>146.14599999999999</v>
      </c>
      <c r="BU18" t="s">
        <v>69</v>
      </c>
      <c r="BV18" t="s">
        <v>69</v>
      </c>
      <c r="BW18">
        <v>83</v>
      </c>
      <c r="BX18" t="s">
        <v>69</v>
      </c>
      <c r="BY18" t="s">
        <v>69</v>
      </c>
      <c r="BZ18" t="s">
        <v>152</v>
      </c>
      <c r="CA18" t="s">
        <v>69</v>
      </c>
      <c r="CB18">
        <v>181.191</v>
      </c>
      <c r="CC18" t="s">
        <v>69</v>
      </c>
      <c r="CD18" t="s">
        <v>69</v>
      </c>
      <c r="CE18">
        <v>353</v>
      </c>
      <c r="CF18" t="s">
        <v>76</v>
      </c>
      <c r="CG18" t="s">
        <v>69</v>
      </c>
      <c r="CH18" t="s">
        <v>75</v>
      </c>
      <c r="CI18" t="s">
        <v>69</v>
      </c>
      <c r="CJ18">
        <v>146.18899999999999</v>
      </c>
      <c r="CK18" t="s">
        <v>69</v>
      </c>
      <c r="CL18" t="s">
        <v>69</v>
      </c>
    </row>
    <row r="19" spans="1:90" x14ac:dyDescent="0.25">
      <c r="A19">
        <v>7</v>
      </c>
      <c r="B19" t="str">
        <f>HYPERLINK("http://www.ncbi.nlm.nih.gov/protein/XP_020935033.1","XP_020935033.1")</f>
        <v>XP_020935033.1</v>
      </c>
      <c r="C19">
        <v>86952</v>
      </c>
      <c r="D19" t="str">
        <f>HYPERLINK("http://www.ncbi.nlm.nih.gov/Taxonomy/Browser/wwwtax.cgi?mode=Info&amp;id=9823&amp;lvl=3&amp;lin=f&amp;keep=1&amp;srchmode=1&amp;unlock","9823")</f>
        <v>9823</v>
      </c>
      <c r="E19" t="s">
        <v>66</v>
      </c>
      <c r="F19" t="str">
        <f>HYPERLINK("http://www.ncbi.nlm.nih.gov/Taxonomy/Browser/wwwtax.cgi?mode=Info&amp;id=9823&amp;lvl=3&amp;lin=f&amp;keep=1&amp;srchmode=1&amp;unlock","Sus scrofa")</f>
        <v>Sus scrofa</v>
      </c>
      <c r="G19" t="s">
        <v>85</v>
      </c>
      <c r="H19" t="str">
        <f>HYPERLINK("http://www.ncbi.nlm.nih.gov/protein/XP_020935033.1","angiotensin-converting enzyme 2 isoform X1")</f>
        <v>angiotensin-converting enzyme 2 isoform X1</v>
      </c>
      <c r="I19" t="s">
        <v>154</v>
      </c>
      <c r="J19" t="s">
        <v>69</v>
      </c>
      <c r="K19">
        <v>19</v>
      </c>
      <c r="L19" t="s">
        <v>155</v>
      </c>
      <c r="M19" t="s">
        <v>69</v>
      </c>
      <c r="N19" t="s">
        <v>150</v>
      </c>
      <c r="O19" t="s">
        <v>69</v>
      </c>
      <c r="P19">
        <v>105.093</v>
      </c>
      <c r="Q19" t="s">
        <v>69</v>
      </c>
      <c r="R19" t="s">
        <v>69</v>
      </c>
      <c r="S19">
        <v>24</v>
      </c>
      <c r="T19" t="s">
        <v>72</v>
      </c>
      <c r="U19" t="s">
        <v>153</v>
      </c>
      <c r="V19" t="s">
        <v>71</v>
      </c>
      <c r="W19" t="s">
        <v>153</v>
      </c>
      <c r="X19">
        <v>131.17500000000001</v>
      </c>
      <c r="Y19" t="s">
        <v>69</v>
      </c>
      <c r="Z19" t="s">
        <v>69</v>
      </c>
      <c r="AA19">
        <v>30</v>
      </c>
      <c r="AB19" t="s">
        <v>119</v>
      </c>
      <c r="AC19" t="s">
        <v>153</v>
      </c>
      <c r="AD19" t="s">
        <v>120</v>
      </c>
      <c r="AE19" t="s">
        <v>69</v>
      </c>
      <c r="AF19">
        <v>147.131</v>
      </c>
      <c r="AG19" t="s">
        <v>69</v>
      </c>
      <c r="AH19" t="s">
        <v>69</v>
      </c>
      <c r="AI19">
        <v>31</v>
      </c>
      <c r="AJ19" t="s">
        <v>76</v>
      </c>
      <c r="AK19" t="s">
        <v>69</v>
      </c>
      <c r="AL19" t="s">
        <v>75</v>
      </c>
      <c r="AM19" t="s">
        <v>69</v>
      </c>
      <c r="AN19">
        <v>146.18899999999999</v>
      </c>
      <c r="AO19" t="s">
        <v>69</v>
      </c>
      <c r="AP19" t="s">
        <v>69</v>
      </c>
      <c r="AQ19">
        <v>35</v>
      </c>
      <c r="AR19" t="s">
        <v>119</v>
      </c>
      <c r="AS19" t="s">
        <v>69</v>
      </c>
      <c r="AT19" t="s">
        <v>120</v>
      </c>
      <c r="AU19" t="s">
        <v>69</v>
      </c>
      <c r="AV19">
        <v>147.131</v>
      </c>
      <c r="AW19" t="s">
        <v>69</v>
      </c>
      <c r="AX19" t="s">
        <v>69</v>
      </c>
      <c r="AY19">
        <v>38</v>
      </c>
      <c r="AZ19" t="s">
        <v>156</v>
      </c>
      <c r="BA19" t="s">
        <v>69</v>
      </c>
      <c r="BB19" t="s">
        <v>120</v>
      </c>
      <c r="BC19" t="s">
        <v>69</v>
      </c>
      <c r="BD19">
        <v>133.10400000000001</v>
      </c>
      <c r="BE19" t="s">
        <v>69</v>
      </c>
      <c r="BF19" t="s">
        <v>69</v>
      </c>
      <c r="BG19">
        <v>41</v>
      </c>
      <c r="BH19" t="s">
        <v>69</v>
      </c>
      <c r="BI19" t="s">
        <v>69</v>
      </c>
      <c r="BJ19" t="s">
        <v>152</v>
      </c>
      <c r="BK19" t="s">
        <v>69</v>
      </c>
      <c r="BL19">
        <v>181.191</v>
      </c>
      <c r="BM19" t="s">
        <v>69</v>
      </c>
      <c r="BN19" t="s">
        <v>69</v>
      </c>
      <c r="BO19">
        <v>42</v>
      </c>
      <c r="BP19" t="s">
        <v>147</v>
      </c>
      <c r="BQ19" t="s">
        <v>69</v>
      </c>
      <c r="BR19" t="s">
        <v>148</v>
      </c>
      <c r="BS19" t="s">
        <v>69</v>
      </c>
      <c r="BT19">
        <v>146.14599999999999</v>
      </c>
      <c r="BU19" t="s">
        <v>69</v>
      </c>
      <c r="BV19" t="s">
        <v>69</v>
      </c>
      <c r="BW19">
        <v>83</v>
      </c>
      <c r="BX19" t="s">
        <v>69</v>
      </c>
      <c r="BY19" t="s">
        <v>69</v>
      </c>
      <c r="BZ19" t="s">
        <v>152</v>
      </c>
      <c r="CA19" t="s">
        <v>69</v>
      </c>
      <c r="CB19">
        <v>181.191</v>
      </c>
      <c r="CC19" t="s">
        <v>69</v>
      </c>
      <c r="CD19" t="s">
        <v>69</v>
      </c>
      <c r="CE19">
        <v>353</v>
      </c>
      <c r="CF19" t="s">
        <v>76</v>
      </c>
      <c r="CG19" t="s">
        <v>69</v>
      </c>
      <c r="CH19" t="s">
        <v>75</v>
      </c>
      <c r="CI19" t="s">
        <v>69</v>
      </c>
      <c r="CJ19">
        <v>146.18899999999999</v>
      </c>
      <c r="CK19" t="s">
        <v>69</v>
      </c>
      <c r="CL19" t="s">
        <v>69</v>
      </c>
    </row>
    <row r="20" spans="1:90" x14ac:dyDescent="0.25">
      <c r="A20">
        <v>7</v>
      </c>
      <c r="B20" t="str">
        <f>HYPERLINK("http://www.ncbi.nlm.nih.gov/protein/XP_044091952.1","XP_044091952.1")</f>
        <v>XP_044091952.1</v>
      </c>
      <c r="C20">
        <v>44640</v>
      </c>
      <c r="D20" t="str">
        <f>HYPERLINK("http://www.ncbi.nlm.nih.gov/Taxonomy/Browser/wwwtax.cgi?mode=Info&amp;id=452646&amp;lvl=3&amp;lin=f&amp;keep=1&amp;srchmode=1&amp;unlock","452646")</f>
        <v>452646</v>
      </c>
      <c r="E20" t="s">
        <v>66</v>
      </c>
      <c r="F20" t="str">
        <f>HYPERLINK("http://www.ncbi.nlm.nih.gov/Taxonomy/Browser/wwwtax.cgi?mode=Info&amp;id=452646&amp;lvl=3&amp;lin=f&amp;keep=1&amp;srchmode=1&amp;unlock","Neogale vison")</f>
        <v>Neogale vison</v>
      </c>
      <c r="G20" t="s">
        <v>96</v>
      </c>
      <c r="H20" t="str">
        <f>HYPERLINK("http://www.ncbi.nlm.nih.gov/protein/XP_044091952.1","angiotensin-converting enzyme 2")</f>
        <v>angiotensin-converting enzyme 2</v>
      </c>
      <c r="I20" t="s">
        <v>154</v>
      </c>
      <c r="J20" t="s">
        <v>69</v>
      </c>
      <c r="K20">
        <v>19</v>
      </c>
      <c r="L20" t="s">
        <v>155</v>
      </c>
      <c r="M20" t="s">
        <v>69</v>
      </c>
      <c r="N20" t="s">
        <v>150</v>
      </c>
      <c r="O20" t="s">
        <v>69</v>
      </c>
      <c r="P20">
        <v>105.093</v>
      </c>
      <c r="Q20" t="s">
        <v>69</v>
      </c>
      <c r="R20" t="s">
        <v>69</v>
      </c>
      <c r="S20">
        <v>24</v>
      </c>
      <c r="T20" t="s">
        <v>72</v>
      </c>
      <c r="U20" t="s">
        <v>153</v>
      </c>
      <c r="V20" t="s">
        <v>71</v>
      </c>
      <c r="W20" t="s">
        <v>153</v>
      </c>
      <c r="X20">
        <v>131.17500000000001</v>
      </c>
      <c r="Y20" t="s">
        <v>69</v>
      </c>
      <c r="Z20" t="s">
        <v>69</v>
      </c>
      <c r="AA20">
        <v>30</v>
      </c>
      <c r="AB20" t="s">
        <v>119</v>
      </c>
      <c r="AC20" t="s">
        <v>153</v>
      </c>
      <c r="AD20" t="s">
        <v>120</v>
      </c>
      <c r="AE20" t="s">
        <v>69</v>
      </c>
      <c r="AF20">
        <v>147.131</v>
      </c>
      <c r="AG20" t="s">
        <v>69</v>
      </c>
      <c r="AH20" t="s">
        <v>69</v>
      </c>
      <c r="AI20">
        <v>31</v>
      </c>
      <c r="AJ20" t="s">
        <v>76</v>
      </c>
      <c r="AK20" t="s">
        <v>69</v>
      </c>
      <c r="AL20" t="s">
        <v>75</v>
      </c>
      <c r="AM20" t="s">
        <v>69</v>
      </c>
      <c r="AN20">
        <v>146.18899999999999</v>
      </c>
      <c r="AO20" t="s">
        <v>69</v>
      </c>
      <c r="AP20" t="s">
        <v>69</v>
      </c>
      <c r="AQ20">
        <v>35</v>
      </c>
      <c r="AR20" t="s">
        <v>119</v>
      </c>
      <c r="AS20" t="s">
        <v>69</v>
      </c>
      <c r="AT20" t="s">
        <v>120</v>
      </c>
      <c r="AU20" t="s">
        <v>69</v>
      </c>
      <c r="AV20">
        <v>147.131</v>
      </c>
      <c r="AW20" t="s">
        <v>69</v>
      </c>
      <c r="AX20" t="s">
        <v>69</v>
      </c>
      <c r="AY20">
        <v>38</v>
      </c>
      <c r="AZ20" t="s">
        <v>119</v>
      </c>
      <c r="BA20" t="s">
        <v>153</v>
      </c>
      <c r="BB20" t="s">
        <v>120</v>
      </c>
      <c r="BC20" t="s">
        <v>69</v>
      </c>
      <c r="BD20">
        <v>147.131</v>
      </c>
      <c r="BE20" t="s">
        <v>69</v>
      </c>
      <c r="BF20" t="s">
        <v>69</v>
      </c>
      <c r="BG20">
        <v>41</v>
      </c>
      <c r="BH20" t="s">
        <v>69</v>
      </c>
      <c r="BI20" t="s">
        <v>69</v>
      </c>
      <c r="BJ20" t="s">
        <v>152</v>
      </c>
      <c r="BK20" t="s">
        <v>69</v>
      </c>
      <c r="BL20">
        <v>181.191</v>
      </c>
      <c r="BM20" t="s">
        <v>69</v>
      </c>
      <c r="BN20" t="s">
        <v>69</v>
      </c>
      <c r="BO20">
        <v>42</v>
      </c>
      <c r="BP20" t="s">
        <v>147</v>
      </c>
      <c r="BQ20" t="s">
        <v>69</v>
      </c>
      <c r="BR20" t="s">
        <v>148</v>
      </c>
      <c r="BS20" t="s">
        <v>69</v>
      </c>
      <c r="BT20">
        <v>146.14599999999999</v>
      </c>
      <c r="BU20" t="s">
        <v>69</v>
      </c>
      <c r="BV20" t="s">
        <v>69</v>
      </c>
      <c r="BW20">
        <v>83</v>
      </c>
      <c r="BX20" t="s">
        <v>69</v>
      </c>
      <c r="BY20" t="s">
        <v>69</v>
      </c>
      <c r="BZ20" t="s">
        <v>152</v>
      </c>
      <c r="CA20" t="s">
        <v>69</v>
      </c>
      <c r="CB20">
        <v>181.191</v>
      </c>
      <c r="CC20" t="s">
        <v>69</v>
      </c>
      <c r="CD20" t="s">
        <v>69</v>
      </c>
      <c r="CE20">
        <v>353</v>
      </c>
      <c r="CF20" t="s">
        <v>76</v>
      </c>
      <c r="CG20" t="s">
        <v>69</v>
      </c>
      <c r="CH20" t="s">
        <v>75</v>
      </c>
      <c r="CI20" t="s">
        <v>69</v>
      </c>
      <c r="CJ20">
        <v>146.18899999999999</v>
      </c>
      <c r="CK20" t="s">
        <v>69</v>
      </c>
      <c r="CL20" t="s">
        <v>69</v>
      </c>
    </row>
    <row r="21" spans="1:90" x14ac:dyDescent="0.25">
      <c r="A21">
        <v>7</v>
      </c>
      <c r="B21" t="str">
        <f>HYPERLINK("http://www.ncbi.nlm.nih.gov/protein/XP_045850935.1","XP_045850935.1")</f>
        <v>XP_045850935.1</v>
      </c>
      <c r="C21">
        <v>50752</v>
      </c>
      <c r="D21" t="str">
        <f>HYPERLINK("http://www.ncbi.nlm.nih.gov/Taxonomy/Browser/wwwtax.cgi?mode=Info&amp;id=9662&amp;lvl=3&amp;lin=f&amp;keep=1&amp;srchmode=1&amp;unlock","9662")</f>
        <v>9662</v>
      </c>
      <c r="E21" t="s">
        <v>66</v>
      </c>
      <c r="F21" t="str">
        <f>HYPERLINK("http://www.ncbi.nlm.nih.gov/Taxonomy/Browser/wwwtax.cgi?mode=Info&amp;id=9662&amp;lvl=3&amp;lin=f&amp;keep=1&amp;srchmode=1&amp;unlock","Meles meles")</f>
        <v>Meles meles</v>
      </c>
      <c r="G21" t="s">
        <v>99</v>
      </c>
      <c r="H21" t="str">
        <f>HYPERLINK("http://www.ncbi.nlm.nih.gov/protein/XP_045850935.1","angiotensin-converting enzyme 2 isoform X2")</f>
        <v>angiotensin-converting enzyme 2 isoform X2</v>
      </c>
      <c r="I21" t="s">
        <v>154</v>
      </c>
      <c r="J21" t="s">
        <v>69</v>
      </c>
      <c r="K21">
        <v>19</v>
      </c>
      <c r="L21" t="s">
        <v>155</v>
      </c>
      <c r="M21" t="s">
        <v>69</v>
      </c>
      <c r="N21" t="s">
        <v>150</v>
      </c>
      <c r="O21" t="s">
        <v>69</v>
      </c>
      <c r="P21">
        <v>105.093</v>
      </c>
      <c r="Q21" t="s">
        <v>69</v>
      </c>
      <c r="R21" t="s">
        <v>69</v>
      </c>
      <c r="S21">
        <v>24</v>
      </c>
      <c r="T21" t="s">
        <v>72</v>
      </c>
      <c r="U21" t="s">
        <v>153</v>
      </c>
      <c r="V21" t="s">
        <v>71</v>
      </c>
      <c r="W21" t="s">
        <v>153</v>
      </c>
      <c r="X21">
        <v>131.17500000000001</v>
      </c>
      <c r="Y21" t="s">
        <v>69</v>
      </c>
      <c r="Z21" t="s">
        <v>69</v>
      </c>
      <c r="AA21">
        <v>30</v>
      </c>
      <c r="AB21" t="s">
        <v>119</v>
      </c>
      <c r="AC21" t="s">
        <v>153</v>
      </c>
      <c r="AD21" t="s">
        <v>120</v>
      </c>
      <c r="AE21" t="s">
        <v>69</v>
      </c>
      <c r="AF21">
        <v>147.131</v>
      </c>
      <c r="AG21" t="s">
        <v>69</v>
      </c>
      <c r="AH21" t="s">
        <v>69</v>
      </c>
      <c r="AI21">
        <v>31</v>
      </c>
      <c r="AJ21" t="s">
        <v>76</v>
      </c>
      <c r="AK21" t="s">
        <v>69</v>
      </c>
      <c r="AL21" t="s">
        <v>75</v>
      </c>
      <c r="AM21" t="s">
        <v>69</v>
      </c>
      <c r="AN21">
        <v>146.18899999999999</v>
      </c>
      <c r="AO21" t="s">
        <v>69</v>
      </c>
      <c r="AP21" t="s">
        <v>69</v>
      </c>
      <c r="AQ21">
        <v>35</v>
      </c>
      <c r="AR21" t="s">
        <v>119</v>
      </c>
      <c r="AS21" t="s">
        <v>69</v>
      </c>
      <c r="AT21" t="s">
        <v>120</v>
      </c>
      <c r="AU21" t="s">
        <v>69</v>
      </c>
      <c r="AV21">
        <v>147.131</v>
      </c>
      <c r="AW21" t="s">
        <v>69</v>
      </c>
      <c r="AX21" t="s">
        <v>69</v>
      </c>
      <c r="AY21">
        <v>38</v>
      </c>
      <c r="AZ21" t="s">
        <v>119</v>
      </c>
      <c r="BA21" t="s">
        <v>153</v>
      </c>
      <c r="BB21" t="s">
        <v>120</v>
      </c>
      <c r="BC21" t="s">
        <v>69</v>
      </c>
      <c r="BD21">
        <v>147.131</v>
      </c>
      <c r="BE21" t="s">
        <v>69</v>
      </c>
      <c r="BF21" t="s">
        <v>69</v>
      </c>
      <c r="BG21">
        <v>41</v>
      </c>
      <c r="BH21" t="s">
        <v>69</v>
      </c>
      <c r="BI21" t="s">
        <v>69</v>
      </c>
      <c r="BJ21" t="s">
        <v>152</v>
      </c>
      <c r="BK21" t="s">
        <v>69</v>
      </c>
      <c r="BL21">
        <v>181.191</v>
      </c>
      <c r="BM21" t="s">
        <v>69</v>
      </c>
      <c r="BN21" t="s">
        <v>69</v>
      </c>
      <c r="BO21">
        <v>42</v>
      </c>
      <c r="BP21" t="s">
        <v>147</v>
      </c>
      <c r="BQ21" t="s">
        <v>69</v>
      </c>
      <c r="BR21" t="s">
        <v>148</v>
      </c>
      <c r="BS21" t="s">
        <v>69</v>
      </c>
      <c r="BT21">
        <v>146.14599999999999</v>
      </c>
      <c r="BU21" t="s">
        <v>69</v>
      </c>
      <c r="BV21" t="s">
        <v>69</v>
      </c>
      <c r="BW21">
        <v>83</v>
      </c>
      <c r="BX21" t="s">
        <v>69</v>
      </c>
      <c r="BY21" t="s">
        <v>69</v>
      </c>
      <c r="BZ21" t="s">
        <v>152</v>
      </c>
      <c r="CA21" t="s">
        <v>69</v>
      </c>
      <c r="CB21">
        <v>181.191</v>
      </c>
      <c r="CC21" t="s">
        <v>69</v>
      </c>
      <c r="CD21" t="s">
        <v>69</v>
      </c>
      <c r="CE21">
        <v>353</v>
      </c>
      <c r="CF21" t="s">
        <v>76</v>
      </c>
      <c r="CG21" t="s">
        <v>69</v>
      </c>
      <c r="CH21" t="s">
        <v>75</v>
      </c>
      <c r="CI21" t="s">
        <v>69</v>
      </c>
      <c r="CJ21">
        <v>146.18899999999999</v>
      </c>
      <c r="CK21" t="s">
        <v>69</v>
      </c>
      <c r="CL21" t="s">
        <v>69</v>
      </c>
    </row>
    <row r="22" spans="1:90" x14ac:dyDescent="0.25">
      <c r="A22">
        <v>7</v>
      </c>
      <c r="B22" t="str">
        <f>HYPERLINK("http://www.ncbi.nlm.nih.gov/protein/BAE72462.1","BAE72462.1")</f>
        <v>BAE72462.1</v>
      </c>
      <c r="C22">
        <v>506</v>
      </c>
      <c r="D22" t="str">
        <f>HYPERLINK("http://www.ncbi.nlm.nih.gov/Taxonomy/Browser/wwwtax.cgi?mode=Info&amp;id=9654&amp;lvl=3&amp;lin=f&amp;keep=1&amp;srchmode=1&amp;unlock","9654")</f>
        <v>9654</v>
      </c>
      <c r="E22" t="s">
        <v>66</v>
      </c>
      <c r="F22" t="str">
        <f>HYPERLINK("http://www.ncbi.nlm.nih.gov/Taxonomy/Browser/wwwtax.cgi?mode=Info&amp;id=9654&amp;lvl=3&amp;lin=f&amp;keep=1&amp;srchmode=1&amp;unlock","Procyon lotor")</f>
        <v>Procyon lotor</v>
      </c>
      <c r="G22" t="s">
        <v>158</v>
      </c>
      <c r="H22" t="str">
        <f>HYPERLINK("http://www.ncbi.nlm.nih.gov/protein/BAE72462.1","angiotensin I converting enzyme 2")</f>
        <v>angiotensin I converting enzyme 2</v>
      </c>
      <c r="I22" t="s">
        <v>154</v>
      </c>
      <c r="J22" t="s">
        <v>69</v>
      </c>
      <c r="K22">
        <v>19</v>
      </c>
      <c r="L22" t="s">
        <v>155</v>
      </c>
      <c r="M22" t="s">
        <v>69</v>
      </c>
      <c r="N22" t="s">
        <v>150</v>
      </c>
      <c r="O22" t="s">
        <v>69</v>
      </c>
      <c r="P22">
        <v>105.093</v>
      </c>
      <c r="Q22" t="s">
        <v>69</v>
      </c>
      <c r="R22" t="s">
        <v>69</v>
      </c>
      <c r="S22">
        <v>24</v>
      </c>
      <c r="T22" t="s">
        <v>72</v>
      </c>
      <c r="U22" t="s">
        <v>153</v>
      </c>
      <c r="V22" t="s">
        <v>71</v>
      </c>
      <c r="W22" t="s">
        <v>153</v>
      </c>
      <c r="X22">
        <v>131.17500000000001</v>
      </c>
      <c r="Y22" t="s">
        <v>69</v>
      </c>
      <c r="Z22" t="s">
        <v>69</v>
      </c>
      <c r="AA22">
        <v>30</v>
      </c>
      <c r="AB22" t="s">
        <v>119</v>
      </c>
      <c r="AC22" t="s">
        <v>153</v>
      </c>
      <c r="AD22" t="s">
        <v>120</v>
      </c>
      <c r="AE22" t="s">
        <v>69</v>
      </c>
      <c r="AF22">
        <v>147.131</v>
      </c>
      <c r="AG22" t="s">
        <v>69</v>
      </c>
      <c r="AH22" t="s">
        <v>69</v>
      </c>
      <c r="AI22">
        <v>31</v>
      </c>
      <c r="AJ22" t="s">
        <v>153</v>
      </c>
      <c r="AK22" t="s">
        <v>153</v>
      </c>
      <c r="AL22" t="s">
        <v>148</v>
      </c>
      <c r="AM22" t="s">
        <v>153</v>
      </c>
      <c r="AN22">
        <v>132.119</v>
      </c>
      <c r="AO22" t="s">
        <v>69</v>
      </c>
      <c r="AP22" t="s">
        <v>69</v>
      </c>
      <c r="AQ22">
        <v>35</v>
      </c>
      <c r="AR22" t="s">
        <v>119</v>
      </c>
      <c r="AS22" t="s">
        <v>69</v>
      </c>
      <c r="AT22" t="s">
        <v>120</v>
      </c>
      <c r="AU22" t="s">
        <v>69</v>
      </c>
      <c r="AV22">
        <v>147.131</v>
      </c>
      <c r="AW22" t="s">
        <v>69</v>
      </c>
      <c r="AX22" t="s">
        <v>69</v>
      </c>
      <c r="AY22">
        <v>38</v>
      </c>
      <c r="AZ22" t="s">
        <v>119</v>
      </c>
      <c r="BA22" t="s">
        <v>153</v>
      </c>
      <c r="BB22" t="s">
        <v>120</v>
      </c>
      <c r="BC22" t="s">
        <v>69</v>
      </c>
      <c r="BD22">
        <v>147.131</v>
      </c>
      <c r="BE22" t="s">
        <v>69</v>
      </c>
      <c r="BF22" t="s">
        <v>69</v>
      </c>
      <c r="BG22">
        <v>41</v>
      </c>
      <c r="BH22" t="s">
        <v>69</v>
      </c>
      <c r="BI22" t="s">
        <v>69</v>
      </c>
      <c r="BJ22" t="s">
        <v>152</v>
      </c>
      <c r="BK22" t="s">
        <v>69</v>
      </c>
      <c r="BL22">
        <v>181.191</v>
      </c>
      <c r="BM22" t="s">
        <v>69</v>
      </c>
      <c r="BN22" t="s">
        <v>69</v>
      </c>
      <c r="BO22">
        <v>42</v>
      </c>
      <c r="BP22" t="s">
        <v>147</v>
      </c>
      <c r="BQ22" t="s">
        <v>69</v>
      </c>
      <c r="BR22" t="s">
        <v>148</v>
      </c>
      <c r="BS22" t="s">
        <v>69</v>
      </c>
      <c r="BT22">
        <v>146.14599999999999</v>
      </c>
      <c r="BU22" t="s">
        <v>69</v>
      </c>
      <c r="BV22" t="s">
        <v>69</v>
      </c>
      <c r="BW22">
        <v>83</v>
      </c>
      <c r="BX22" t="s">
        <v>69</v>
      </c>
      <c r="BY22" t="s">
        <v>69</v>
      </c>
      <c r="BZ22" t="s">
        <v>152</v>
      </c>
      <c r="CA22" t="s">
        <v>69</v>
      </c>
      <c r="CB22">
        <v>181.191</v>
      </c>
      <c r="CC22" t="s">
        <v>69</v>
      </c>
      <c r="CD22" t="s">
        <v>69</v>
      </c>
      <c r="CE22">
        <v>353</v>
      </c>
      <c r="CF22" t="s">
        <v>76</v>
      </c>
      <c r="CG22" t="s">
        <v>69</v>
      </c>
      <c r="CH22" t="s">
        <v>75</v>
      </c>
      <c r="CI22" t="s">
        <v>69</v>
      </c>
      <c r="CJ22">
        <v>146.18899999999999</v>
      </c>
      <c r="CK22" t="s">
        <v>69</v>
      </c>
      <c r="CL22" t="s">
        <v>69</v>
      </c>
    </row>
    <row r="23" spans="1:90" x14ac:dyDescent="0.25">
      <c r="A23">
        <v>7</v>
      </c>
      <c r="B23" t="str">
        <f>HYPERLINK("http://www.ncbi.nlm.nih.gov/protein/NP_001297119.1","NP_001297119.1")</f>
        <v>NP_001297119.1</v>
      </c>
      <c r="C23">
        <v>58003</v>
      </c>
      <c r="D23" t="str">
        <f>HYPERLINK("http://www.ncbi.nlm.nih.gov/Taxonomy/Browser/wwwtax.cgi?mode=Info&amp;id=9669&amp;lvl=3&amp;lin=f&amp;keep=1&amp;srchmode=1&amp;unlock","9669")</f>
        <v>9669</v>
      </c>
      <c r="E23" t="s">
        <v>66</v>
      </c>
      <c r="F23" t="str">
        <f>HYPERLINK("http://www.ncbi.nlm.nih.gov/Taxonomy/Browser/wwwtax.cgi?mode=Info&amp;id=9669&amp;lvl=3&amp;lin=f&amp;keep=1&amp;srchmode=1&amp;unlock","Mustela putorius furo")</f>
        <v>Mustela putorius furo</v>
      </c>
      <c r="G23" t="s">
        <v>98</v>
      </c>
      <c r="H23" t="str">
        <f>HYPERLINK("http://www.ncbi.nlm.nih.gov/protein/NP_001297119.1","angiotensin-converting enzyme 2 precursor")</f>
        <v>angiotensin-converting enzyme 2 precursor</v>
      </c>
      <c r="I23" t="s">
        <v>154</v>
      </c>
      <c r="J23" t="s">
        <v>69</v>
      </c>
      <c r="K23">
        <v>19</v>
      </c>
      <c r="L23" t="s">
        <v>155</v>
      </c>
      <c r="M23" t="s">
        <v>69</v>
      </c>
      <c r="N23" t="s">
        <v>150</v>
      </c>
      <c r="O23" t="s">
        <v>69</v>
      </c>
      <c r="P23">
        <v>105.093</v>
      </c>
      <c r="Q23" t="s">
        <v>69</v>
      </c>
      <c r="R23" t="s">
        <v>69</v>
      </c>
      <c r="S23">
        <v>24</v>
      </c>
      <c r="T23" t="s">
        <v>72</v>
      </c>
      <c r="U23" t="s">
        <v>153</v>
      </c>
      <c r="V23" t="s">
        <v>71</v>
      </c>
      <c r="W23" t="s">
        <v>153</v>
      </c>
      <c r="X23">
        <v>131.17500000000001</v>
      </c>
      <c r="Y23" t="s">
        <v>69</v>
      </c>
      <c r="Z23" t="s">
        <v>69</v>
      </c>
      <c r="AA23">
        <v>30</v>
      </c>
      <c r="AB23" t="s">
        <v>119</v>
      </c>
      <c r="AC23" t="s">
        <v>153</v>
      </c>
      <c r="AD23" t="s">
        <v>120</v>
      </c>
      <c r="AE23" t="s">
        <v>69</v>
      </c>
      <c r="AF23">
        <v>147.131</v>
      </c>
      <c r="AG23" t="s">
        <v>69</v>
      </c>
      <c r="AH23" t="s">
        <v>69</v>
      </c>
      <c r="AI23">
        <v>31</v>
      </c>
      <c r="AJ23" t="s">
        <v>76</v>
      </c>
      <c r="AK23" t="s">
        <v>69</v>
      </c>
      <c r="AL23" t="s">
        <v>75</v>
      </c>
      <c r="AM23" t="s">
        <v>69</v>
      </c>
      <c r="AN23">
        <v>146.18899999999999</v>
      </c>
      <c r="AO23" t="s">
        <v>69</v>
      </c>
      <c r="AP23" t="s">
        <v>69</v>
      </c>
      <c r="AQ23">
        <v>35</v>
      </c>
      <c r="AR23" t="s">
        <v>119</v>
      </c>
      <c r="AS23" t="s">
        <v>69</v>
      </c>
      <c r="AT23" t="s">
        <v>120</v>
      </c>
      <c r="AU23" t="s">
        <v>69</v>
      </c>
      <c r="AV23">
        <v>147.131</v>
      </c>
      <c r="AW23" t="s">
        <v>69</v>
      </c>
      <c r="AX23" t="s">
        <v>69</v>
      </c>
      <c r="AY23">
        <v>38</v>
      </c>
      <c r="AZ23" t="s">
        <v>119</v>
      </c>
      <c r="BA23" t="s">
        <v>153</v>
      </c>
      <c r="BB23" t="s">
        <v>120</v>
      </c>
      <c r="BC23" t="s">
        <v>69</v>
      </c>
      <c r="BD23">
        <v>147.131</v>
      </c>
      <c r="BE23" t="s">
        <v>69</v>
      </c>
      <c r="BF23" t="s">
        <v>69</v>
      </c>
      <c r="BG23">
        <v>41</v>
      </c>
      <c r="BH23" t="s">
        <v>69</v>
      </c>
      <c r="BI23" t="s">
        <v>69</v>
      </c>
      <c r="BJ23" t="s">
        <v>152</v>
      </c>
      <c r="BK23" t="s">
        <v>69</v>
      </c>
      <c r="BL23">
        <v>181.191</v>
      </c>
      <c r="BM23" t="s">
        <v>69</v>
      </c>
      <c r="BN23" t="s">
        <v>69</v>
      </c>
      <c r="BO23">
        <v>42</v>
      </c>
      <c r="BP23" t="s">
        <v>147</v>
      </c>
      <c r="BQ23" t="s">
        <v>69</v>
      </c>
      <c r="BR23" t="s">
        <v>148</v>
      </c>
      <c r="BS23" t="s">
        <v>69</v>
      </c>
      <c r="BT23">
        <v>146.14599999999999</v>
      </c>
      <c r="BU23" t="s">
        <v>69</v>
      </c>
      <c r="BV23" t="s">
        <v>69</v>
      </c>
      <c r="BW23">
        <v>83</v>
      </c>
      <c r="BX23" t="s">
        <v>69</v>
      </c>
      <c r="BY23" t="s">
        <v>69</v>
      </c>
      <c r="BZ23" t="s">
        <v>152</v>
      </c>
      <c r="CA23" t="s">
        <v>69</v>
      </c>
      <c r="CB23">
        <v>181.191</v>
      </c>
      <c r="CC23" t="s">
        <v>69</v>
      </c>
      <c r="CD23" t="s">
        <v>69</v>
      </c>
      <c r="CE23">
        <v>353</v>
      </c>
      <c r="CF23" t="s">
        <v>76</v>
      </c>
      <c r="CG23" t="s">
        <v>69</v>
      </c>
      <c r="CH23" t="s">
        <v>75</v>
      </c>
      <c r="CI23" t="s">
        <v>69</v>
      </c>
      <c r="CJ23">
        <v>146.18899999999999</v>
      </c>
      <c r="CK23" t="s">
        <v>69</v>
      </c>
      <c r="CL23" t="s">
        <v>69</v>
      </c>
    </row>
    <row r="24" spans="1:90" x14ac:dyDescent="0.25">
      <c r="A24">
        <v>7</v>
      </c>
      <c r="B24" t="str">
        <f>HYPERLINK("http://www.ncbi.nlm.nih.gov/protein/XP_005228486.1","XP_005228486.1")</f>
        <v>XP_005228486.1</v>
      </c>
      <c r="C24">
        <v>136186</v>
      </c>
      <c r="D24" t="str">
        <f>HYPERLINK("http://www.ncbi.nlm.nih.gov/Taxonomy/Browser/wwwtax.cgi?mode=Info&amp;id=9913&amp;lvl=3&amp;lin=f&amp;keep=1&amp;srchmode=1&amp;unlock","9913")</f>
        <v>9913</v>
      </c>
      <c r="E24" t="s">
        <v>66</v>
      </c>
      <c r="F24" t="str">
        <f>HYPERLINK("http://www.ncbi.nlm.nih.gov/Taxonomy/Browser/wwwtax.cgi?mode=Info&amp;id=9913&amp;lvl=3&amp;lin=f&amp;keep=1&amp;srchmode=1&amp;unlock","Bos taurus")</f>
        <v>Bos taurus</v>
      </c>
      <c r="G24" t="s">
        <v>82</v>
      </c>
      <c r="H24" t="str">
        <f>HYPERLINK("http://www.ncbi.nlm.nih.gov/protein/XP_005228486.1","angiotensin-converting enzyme 2 isoform X2")</f>
        <v>angiotensin-converting enzyme 2 isoform X2</v>
      </c>
      <c r="I24" t="s">
        <v>154</v>
      </c>
      <c r="J24" t="s">
        <v>69</v>
      </c>
      <c r="K24">
        <v>19</v>
      </c>
      <c r="L24" t="s">
        <v>155</v>
      </c>
      <c r="M24" t="s">
        <v>69</v>
      </c>
      <c r="N24" t="s">
        <v>150</v>
      </c>
      <c r="O24" t="s">
        <v>69</v>
      </c>
      <c r="P24">
        <v>105.093</v>
      </c>
      <c r="Q24" t="s">
        <v>69</v>
      </c>
      <c r="R24" t="s">
        <v>69</v>
      </c>
      <c r="S24">
        <v>24</v>
      </c>
      <c r="T24" t="s">
        <v>147</v>
      </c>
      <c r="U24" t="s">
        <v>69</v>
      </c>
      <c r="V24" t="s">
        <v>148</v>
      </c>
      <c r="W24" t="s">
        <v>69</v>
      </c>
      <c r="X24">
        <v>146.14599999999999</v>
      </c>
      <c r="Y24" t="s">
        <v>69</v>
      </c>
      <c r="Z24" t="s">
        <v>69</v>
      </c>
      <c r="AA24">
        <v>30</v>
      </c>
      <c r="AB24" t="s">
        <v>119</v>
      </c>
      <c r="AC24" t="s">
        <v>153</v>
      </c>
      <c r="AD24" t="s">
        <v>120</v>
      </c>
      <c r="AE24" t="s">
        <v>69</v>
      </c>
      <c r="AF24">
        <v>147.131</v>
      </c>
      <c r="AG24" t="s">
        <v>69</v>
      </c>
      <c r="AH24" t="s">
        <v>69</v>
      </c>
      <c r="AI24">
        <v>31</v>
      </c>
      <c r="AJ24" t="s">
        <v>76</v>
      </c>
      <c r="AK24" t="s">
        <v>69</v>
      </c>
      <c r="AL24" t="s">
        <v>75</v>
      </c>
      <c r="AM24" t="s">
        <v>69</v>
      </c>
      <c r="AN24">
        <v>146.18899999999999</v>
      </c>
      <c r="AO24" t="s">
        <v>69</v>
      </c>
      <c r="AP24" t="s">
        <v>69</v>
      </c>
      <c r="AQ24">
        <v>35</v>
      </c>
      <c r="AR24" t="s">
        <v>119</v>
      </c>
      <c r="AS24" t="s">
        <v>69</v>
      </c>
      <c r="AT24" t="s">
        <v>120</v>
      </c>
      <c r="AU24" t="s">
        <v>69</v>
      </c>
      <c r="AV24">
        <v>147.131</v>
      </c>
      <c r="AW24" t="s">
        <v>69</v>
      </c>
      <c r="AX24" t="s">
        <v>69</v>
      </c>
      <c r="AY24">
        <v>38</v>
      </c>
      <c r="AZ24" t="s">
        <v>156</v>
      </c>
      <c r="BA24" t="s">
        <v>69</v>
      </c>
      <c r="BB24" t="s">
        <v>120</v>
      </c>
      <c r="BC24" t="s">
        <v>69</v>
      </c>
      <c r="BD24">
        <v>133.10400000000001</v>
      </c>
      <c r="BE24" t="s">
        <v>69</v>
      </c>
      <c r="BF24" t="s">
        <v>69</v>
      </c>
      <c r="BG24">
        <v>41</v>
      </c>
      <c r="BH24" t="s">
        <v>69</v>
      </c>
      <c r="BI24" t="s">
        <v>69</v>
      </c>
      <c r="BJ24" t="s">
        <v>152</v>
      </c>
      <c r="BK24" t="s">
        <v>69</v>
      </c>
      <c r="BL24">
        <v>181.191</v>
      </c>
      <c r="BM24" t="s">
        <v>69</v>
      </c>
      <c r="BN24" t="s">
        <v>69</v>
      </c>
      <c r="BO24">
        <v>42</v>
      </c>
      <c r="BP24" t="s">
        <v>147</v>
      </c>
      <c r="BQ24" t="s">
        <v>69</v>
      </c>
      <c r="BR24" t="s">
        <v>148</v>
      </c>
      <c r="BS24" t="s">
        <v>69</v>
      </c>
      <c r="BT24">
        <v>146.14599999999999</v>
      </c>
      <c r="BU24" t="s">
        <v>69</v>
      </c>
      <c r="BV24" t="s">
        <v>69</v>
      </c>
      <c r="BW24">
        <v>83</v>
      </c>
      <c r="BX24" t="s">
        <v>69</v>
      </c>
      <c r="BY24" t="s">
        <v>69</v>
      </c>
      <c r="BZ24" t="s">
        <v>152</v>
      </c>
      <c r="CA24" t="s">
        <v>69</v>
      </c>
      <c r="CB24">
        <v>181.191</v>
      </c>
      <c r="CC24" t="s">
        <v>69</v>
      </c>
      <c r="CD24" t="s">
        <v>69</v>
      </c>
      <c r="CE24">
        <v>352</v>
      </c>
      <c r="CF24" t="s">
        <v>76</v>
      </c>
      <c r="CG24" t="s">
        <v>69</v>
      </c>
      <c r="CH24" t="s">
        <v>75</v>
      </c>
      <c r="CI24" t="s">
        <v>69</v>
      </c>
      <c r="CJ24">
        <v>146.18899999999999</v>
      </c>
      <c r="CK24" t="s">
        <v>69</v>
      </c>
      <c r="CL24" t="s">
        <v>69</v>
      </c>
    </row>
    <row r="25" spans="1:90" x14ac:dyDescent="0.25">
      <c r="A25">
        <v>7</v>
      </c>
      <c r="B25" t="str">
        <f>HYPERLINK("http://www.ncbi.nlm.nih.gov/protein/NP_001123985.1","NP_001123985.1")</f>
        <v>NP_001123985.1</v>
      </c>
      <c r="C25">
        <v>337449</v>
      </c>
      <c r="D25" t="str">
        <f>HYPERLINK("http://www.ncbi.nlm.nih.gov/Taxonomy/Browser/wwwtax.cgi?mode=Info&amp;id=10090&amp;lvl=3&amp;lin=f&amp;keep=1&amp;srchmode=1&amp;unlock","10090")</f>
        <v>10090</v>
      </c>
      <c r="E25" t="s">
        <v>66</v>
      </c>
      <c r="F25" t="str">
        <f>HYPERLINK("http://www.ncbi.nlm.nih.gov/Taxonomy/Browser/wwwtax.cgi?mode=Info&amp;id=10090&amp;lvl=3&amp;lin=f&amp;keep=1&amp;srchmode=1&amp;unlock","Mus musculus")</f>
        <v>Mus musculus</v>
      </c>
      <c r="G25" t="s">
        <v>104</v>
      </c>
      <c r="H25" t="str">
        <f>HYPERLINK("http://www.ncbi.nlm.nih.gov/protein/NP_001123985.1","angiotensin-converting enzyme 2 precursor")</f>
        <v>angiotensin-converting enzyme 2 precursor</v>
      </c>
      <c r="I25" t="s">
        <v>154</v>
      </c>
      <c r="J25" t="s">
        <v>69</v>
      </c>
      <c r="K25">
        <v>19</v>
      </c>
      <c r="L25" t="s">
        <v>155</v>
      </c>
      <c r="M25" t="s">
        <v>69</v>
      </c>
      <c r="N25" t="s">
        <v>150</v>
      </c>
      <c r="O25" t="s">
        <v>69</v>
      </c>
      <c r="P25">
        <v>105.093</v>
      </c>
      <c r="Q25" t="s">
        <v>69</v>
      </c>
      <c r="R25" t="s">
        <v>69</v>
      </c>
      <c r="S25">
        <v>24</v>
      </c>
      <c r="T25" t="s">
        <v>153</v>
      </c>
      <c r="U25" t="s">
        <v>153</v>
      </c>
      <c r="V25" t="s">
        <v>148</v>
      </c>
      <c r="W25" t="s">
        <v>69</v>
      </c>
      <c r="X25">
        <v>132.119</v>
      </c>
      <c r="Y25" t="s">
        <v>69</v>
      </c>
      <c r="Z25" t="s">
        <v>69</v>
      </c>
      <c r="AA25">
        <v>30</v>
      </c>
      <c r="AB25" t="s">
        <v>153</v>
      </c>
      <c r="AC25" t="s">
        <v>153</v>
      </c>
      <c r="AD25" t="s">
        <v>148</v>
      </c>
      <c r="AE25" t="s">
        <v>153</v>
      </c>
      <c r="AF25">
        <v>132.119</v>
      </c>
      <c r="AG25" t="s">
        <v>69</v>
      </c>
      <c r="AH25" t="s">
        <v>69</v>
      </c>
      <c r="AI25">
        <v>31</v>
      </c>
      <c r="AJ25" t="s">
        <v>153</v>
      </c>
      <c r="AK25" t="s">
        <v>153</v>
      </c>
      <c r="AL25" t="s">
        <v>148</v>
      </c>
      <c r="AM25" t="s">
        <v>153</v>
      </c>
      <c r="AN25">
        <v>132.119</v>
      </c>
      <c r="AO25" t="s">
        <v>69</v>
      </c>
      <c r="AP25" t="s">
        <v>69</v>
      </c>
      <c r="AQ25">
        <v>35</v>
      </c>
      <c r="AR25" t="s">
        <v>119</v>
      </c>
      <c r="AS25" t="s">
        <v>69</v>
      </c>
      <c r="AT25" t="s">
        <v>120</v>
      </c>
      <c r="AU25" t="s">
        <v>69</v>
      </c>
      <c r="AV25">
        <v>147.131</v>
      </c>
      <c r="AW25" t="s">
        <v>69</v>
      </c>
      <c r="AX25" t="s">
        <v>69</v>
      </c>
      <c r="AY25">
        <v>38</v>
      </c>
      <c r="AZ25" t="s">
        <v>156</v>
      </c>
      <c r="BA25" t="s">
        <v>69</v>
      </c>
      <c r="BB25" t="s">
        <v>120</v>
      </c>
      <c r="BC25" t="s">
        <v>69</v>
      </c>
      <c r="BD25">
        <v>133.10400000000001</v>
      </c>
      <c r="BE25" t="s">
        <v>69</v>
      </c>
      <c r="BF25" t="s">
        <v>69</v>
      </c>
      <c r="BG25">
        <v>41</v>
      </c>
      <c r="BH25" t="s">
        <v>69</v>
      </c>
      <c r="BI25" t="s">
        <v>69</v>
      </c>
      <c r="BJ25" t="s">
        <v>152</v>
      </c>
      <c r="BK25" t="s">
        <v>69</v>
      </c>
      <c r="BL25">
        <v>181.191</v>
      </c>
      <c r="BM25" t="s">
        <v>69</v>
      </c>
      <c r="BN25" t="s">
        <v>69</v>
      </c>
      <c r="BO25">
        <v>42</v>
      </c>
      <c r="BP25" t="s">
        <v>147</v>
      </c>
      <c r="BQ25" t="s">
        <v>69</v>
      </c>
      <c r="BR25" t="s">
        <v>148</v>
      </c>
      <c r="BS25" t="s">
        <v>69</v>
      </c>
      <c r="BT25">
        <v>146.14599999999999</v>
      </c>
      <c r="BU25" t="s">
        <v>69</v>
      </c>
      <c r="BV25" t="s">
        <v>69</v>
      </c>
      <c r="BW25">
        <v>83</v>
      </c>
      <c r="BX25" t="s">
        <v>151</v>
      </c>
      <c r="BY25" t="s">
        <v>153</v>
      </c>
      <c r="BZ25" t="s">
        <v>152</v>
      </c>
      <c r="CA25" t="s">
        <v>69</v>
      </c>
      <c r="CB25">
        <v>165.19200000000001</v>
      </c>
      <c r="CC25" t="s">
        <v>69</v>
      </c>
      <c r="CD25" t="s">
        <v>69</v>
      </c>
      <c r="CE25">
        <v>353</v>
      </c>
      <c r="CF25" t="s">
        <v>157</v>
      </c>
      <c r="CG25" t="s">
        <v>153</v>
      </c>
      <c r="CH25" t="s">
        <v>75</v>
      </c>
      <c r="CI25" t="s">
        <v>69</v>
      </c>
      <c r="CJ25">
        <v>155.15600000000001</v>
      </c>
      <c r="CK25" t="s">
        <v>69</v>
      </c>
      <c r="CL25" t="s">
        <v>69</v>
      </c>
    </row>
    <row r="26" spans="1:90" x14ac:dyDescent="0.25">
      <c r="A26">
        <v>7</v>
      </c>
      <c r="B26" t="str">
        <f>HYPERLINK("http://www.ncbi.nlm.nih.gov/protein/ABW16956.1","ABW16956.1")</f>
        <v>ABW16956.1</v>
      </c>
      <c r="C26">
        <v>27271</v>
      </c>
      <c r="D26" t="str">
        <f>HYPERLINK("http://www.ncbi.nlm.nih.gov/Taxonomy/Browser/wwwtax.cgi?mode=Info&amp;id=34880&amp;lvl=3&amp;lin=f&amp;keep=1&amp;srchmode=1&amp;unlock","34880")</f>
        <v>34880</v>
      </c>
      <c r="E26" t="s">
        <v>66</v>
      </c>
      <c r="F26" t="str">
        <f>HYPERLINK("http://www.ncbi.nlm.nih.gov/Taxonomy/Browser/wwwtax.cgi?mode=Info&amp;id=34880&amp;lvl=3&amp;lin=f&amp;keep=1&amp;srchmode=1&amp;unlock","Nyctereutes procyonoides")</f>
        <v>Nyctereutes procyonoides</v>
      </c>
      <c r="G26" t="s">
        <v>92</v>
      </c>
      <c r="H26" t="str">
        <f>HYPERLINK("http://www.ncbi.nlm.nih.gov/protein/ABW16956.1","angiotensin converting enzyme 2")</f>
        <v>angiotensin converting enzyme 2</v>
      </c>
      <c r="I26" t="s">
        <v>154</v>
      </c>
      <c r="J26" t="s">
        <v>69</v>
      </c>
      <c r="K26">
        <v>19</v>
      </c>
      <c r="L26" t="s">
        <v>155</v>
      </c>
      <c r="M26" t="s">
        <v>69</v>
      </c>
      <c r="N26" t="s">
        <v>150</v>
      </c>
      <c r="O26" t="s">
        <v>69</v>
      </c>
      <c r="P26">
        <v>105.093</v>
      </c>
      <c r="Q26" t="s">
        <v>69</v>
      </c>
      <c r="R26" t="s">
        <v>69</v>
      </c>
      <c r="S26">
        <v>23</v>
      </c>
      <c r="T26" t="s">
        <v>72</v>
      </c>
      <c r="U26" t="s">
        <v>153</v>
      </c>
      <c r="V26" t="s">
        <v>71</v>
      </c>
      <c r="W26" t="s">
        <v>153</v>
      </c>
      <c r="X26">
        <v>131.17500000000001</v>
      </c>
      <c r="Y26" t="s">
        <v>69</v>
      </c>
      <c r="Z26" t="s">
        <v>69</v>
      </c>
      <c r="AA26">
        <v>29</v>
      </c>
      <c r="AB26" t="s">
        <v>119</v>
      </c>
      <c r="AC26" t="s">
        <v>153</v>
      </c>
      <c r="AD26" t="s">
        <v>120</v>
      </c>
      <c r="AE26" t="s">
        <v>69</v>
      </c>
      <c r="AF26">
        <v>147.131</v>
      </c>
      <c r="AG26" t="s">
        <v>69</v>
      </c>
      <c r="AH26" t="s">
        <v>69</v>
      </c>
      <c r="AI26">
        <v>30</v>
      </c>
      <c r="AJ26" t="s">
        <v>76</v>
      </c>
      <c r="AK26" t="s">
        <v>69</v>
      </c>
      <c r="AL26" t="s">
        <v>75</v>
      </c>
      <c r="AM26" t="s">
        <v>69</v>
      </c>
      <c r="AN26">
        <v>146.18899999999999</v>
      </c>
      <c r="AO26" t="s">
        <v>69</v>
      </c>
      <c r="AP26" t="s">
        <v>69</v>
      </c>
      <c r="AQ26">
        <v>34</v>
      </c>
      <c r="AR26" t="s">
        <v>119</v>
      </c>
      <c r="AS26" t="s">
        <v>69</v>
      </c>
      <c r="AT26" t="s">
        <v>120</v>
      </c>
      <c r="AU26" t="s">
        <v>69</v>
      </c>
      <c r="AV26">
        <v>147.131</v>
      </c>
      <c r="AW26" t="s">
        <v>69</v>
      </c>
      <c r="AX26" t="s">
        <v>69</v>
      </c>
      <c r="AY26">
        <v>37</v>
      </c>
      <c r="AZ26" t="s">
        <v>119</v>
      </c>
      <c r="BA26" t="s">
        <v>153</v>
      </c>
      <c r="BB26" t="s">
        <v>120</v>
      </c>
      <c r="BC26" t="s">
        <v>69</v>
      </c>
      <c r="BD26">
        <v>147.131</v>
      </c>
      <c r="BE26" t="s">
        <v>69</v>
      </c>
      <c r="BF26" t="s">
        <v>69</v>
      </c>
      <c r="BG26">
        <v>40</v>
      </c>
      <c r="BH26" t="s">
        <v>69</v>
      </c>
      <c r="BI26" t="s">
        <v>69</v>
      </c>
      <c r="BJ26" t="s">
        <v>152</v>
      </c>
      <c r="BK26" t="s">
        <v>69</v>
      </c>
      <c r="BL26">
        <v>181.191</v>
      </c>
      <c r="BM26" t="s">
        <v>69</v>
      </c>
      <c r="BN26" t="s">
        <v>69</v>
      </c>
      <c r="BO26">
        <v>41</v>
      </c>
      <c r="BP26" t="s">
        <v>147</v>
      </c>
      <c r="BQ26" t="s">
        <v>69</v>
      </c>
      <c r="BR26" t="s">
        <v>148</v>
      </c>
      <c r="BS26" t="s">
        <v>69</v>
      </c>
      <c r="BT26">
        <v>146.14599999999999</v>
      </c>
      <c r="BU26" t="s">
        <v>69</v>
      </c>
      <c r="BV26" t="s">
        <v>69</v>
      </c>
      <c r="BW26">
        <v>82</v>
      </c>
      <c r="BX26" t="s">
        <v>69</v>
      </c>
      <c r="BY26" t="s">
        <v>69</v>
      </c>
      <c r="BZ26" t="s">
        <v>152</v>
      </c>
      <c r="CA26" t="s">
        <v>69</v>
      </c>
      <c r="CB26">
        <v>181.191</v>
      </c>
      <c r="CC26" t="s">
        <v>69</v>
      </c>
      <c r="CD26" t="s">
        <v>69</v>
      </c>
      <c r="CE26">
        <v>352</v>
      </c>
      <c r="CF26" t="s">
        <v>74</v>
      </c>
      <c r="CG26" t="s">
        <v>153</v>
      </c>
      <c r="CH26" t="s">
        <v>75</v>
      </c>
      <c r="CI26" t="s">
        <v>69</v>
      </c>
      <c r="CJ26">
        <v>174.203</v>
      </c>
      <c r="CK26" t="s">
        <v>69</v>
      </c>
      <c r="CL26" t="s">
        <v>69</v>
      </c>
    </row>
    <row r="27" spans="1:90" x14ac:dyDescent="0.25">
      <c r="A27">
        <v>7</v>
      </c>
      <c r="B27" t="str">
        <f>HYPERLINK("http://www.ncbi.nlm.nih.gov/protein/XP_025842512.1","XP_025842512.1")</f>
        <v>XP_025842512.1</v>
      </c>
      <c r="C27">
        <v>38435</v>
      </c>
      <c r="D27" t="str">
        <f>HYPERLINK("http://www.ncbi.nlm.nih.gov/Taxonomy/Browser/wwwtax.cgi?mode=Info&amp;id=9627&amp;lvl=3&amp;lin=f&amp;keep=1&amp;srchmode=1&amp;unlock","9627")</f>
        <v>9627</v>
      </c>
      <c r="E27" t="s">
        <v>66</v>
      </c>
      <c r="F27" t="str">
        <f>HYPERLINK("http://www.ncbi.nlm.nih.gov/Taxonomy/Browser/wwwtax.cgi?mode=Info&amp;id=9627&amp;lvl=3&amp;lin=f&amp;keep=1&amp;srchmode=1&amp;unlock","Vulpes vulpes")</f>
        <v>Vulpes vulpes</v>
      </c>
      <c r="G27" t="s">
        <v>95</v>
      </c>
      <c r="H27" t="str">
        <f>HYPERLINK("http://www.ncbi.nlm.nih.gov/protein/XP_025842512.1","angiotensin-converting enzyme 2")</f>
        <v>angiotensin-converting enzyme 2</v>
      </c>
      <c r="I27" t="s">
        <v>154</v>
      </c>
      <c r="J27" t="s">
        <v>69</v>
      </c>
      <c r="K27">
        <v>19</v>
      </c>
      <c r="L27" t="s">
        <v>155</v>
      </c>
      <c r="M27" t="s">
        <v>69</v>
      </c>
      <c r="N27" t="s">
        <v>150</v>
      </c>
      <c r="O27" t="s">
        <v>69</v>
      </c>
      <c r="P27">
        <v>105.093</v>
      </c>
      <c r="Q27" t="s">
        <v>69</v>
      </c>
      <c r="R27" t="s">
        <v>69</v>
      </c>
      <c r="S27">
        <v>23</v>
      </c>
      <c r="T27" t="s">
        <v>72</v>
      </c>
      <c r="U27" t="s">
        <v>153</v>
      </c>
      <c r="V27" t="s">
        <v>71</v>
      </c>
      <c r="W27" t="s">
        <v>153</v>
      </c>
      <c r="X27">
        <v>131.17500000000001</v>
      </c>
      <c r="Y27" t="s">
        <v>69</v>
      </c>
      <c r="Z27" t="s">
        <v>69</v>
      </c>
      <c r="AA27">
        <v>29</v>
      </c>
      <c r="AB27" t="s">
        <v>119</v>
      </c>
      <c r="AC27" t="s">
        <v>153</v>
      </c>
      <c r="AD27" t="s">
        <v>120</v>
      </c>
      <c r="AE27" t="s">
        <v>69</v>
      </c>
      <c r="AF27">
        <v>147.131</v>
      </c>
      <c r="AG27" t="s">
        <v>69</v>
      </c>
      <c r="AH27" t="s">
        <v>69</v>
      </c>
      <c r="AI27">
        <v>30</v>
      </c>
      <c r="AJ27" t="s">
        <v>76</v>
      </c>
      <c r="AK27" t="s">
        <v>69</v>
      </c>
      <c r="AL27" t="s">
        <v>75</v>
      </c>
      <c r="AM27" t="s">
        <v>69</v>
      </c>
      <c r="AN27">
        <v>146.18899999999999</v>
      </c>
      <c r="AO27" t="s">
        <v>69</v>
      </c>
      <c r="AP27" t="s">
        <v>69</v>
      </c>
      <c r="AQ27">
        <v>34</v>
      </c>
      <c r="AR27" t="s">
        <v>119</v>
      </c>
      <c r="AS27" t="s">
        <v>69</v>
      </c>
      <c r="AT27" t="s">
        <v>120</v>
      </c>
      <c r="AU27" t="s">
        <v>69</v>
      </c>
      <c r="AV27">
        <v>147.131</v>
      </c>
      <c r="AW27" t="s">
        <v>69</v>
      </c>
      <c r="AX27" t="s">
        <v>69</v>
      </c>
      <c r="AY27">
        <v>37</v>
      </c>
      <c r="AZ27" t="s">
        <v>119</v>
      </c>
      <c r="BA27" t="s">
        <v>153</v>
      </c>
      <c r="BB27" t="s">
        <v>120</v>
      </c>
      <c r="BC27" t="s">
        <v>69</v>
      </c>
      <c r="BD27">
        <v>147.131</v>
      </c>
      <c r="BE27" t="s">
        <v>69</v>
      </c>
      <c r="BF27" t="s">
        <v>69</v>
      </c>
      <c r="BG27">
        <v>40</v>
      </c>
      <c r="BH27" t="s">
        <v>69</v>
      </c>
      <c r="BI27" t="s">
        <v>69</v>
      </c>
      <c r="BJ27" t="s">
        <v>152</v>
      </c>
      <c r="BK27" t="s">
        <v>69</v>
      </c>
      <c r="BL27">
        <v>181.191</v>
      </c>
      <c r="BM27" t="s">
        <v>69</v>
      </c>
      <c r="BN27" t="s">
        <v>69</v>
      </c>
      <c r="BO27">
        <v>41</v>
      </c>
      <c r="BP27" t="s">
        <v>147</v>
      </c>
      <c r="BQ27" t="s">
        <v>69</v>
      </c>
      <c r="BR27" t="s">
        <v>148</v>
      </c>
      <c r="BS27" t="s">
        <v>69</v>
      </c>
      <c r="BT27">
        <v>146.14599999999999</v>
      </c>
      <c r="BU27" t="s">
        <v>69</v>
      </c>
      <c r="BV27" t="s">
        <v>69</v>
      </c>
      <c r="BW27">
        <v>82</v>
      </c>
      <c r="BX27" t="s">
        <v>69</v>
      </c>
      <c r="BY27" t="s">
        <v>69</v>
      </c>
      <c r="BZ27" t="s">
        <v>152</v>
      </c>
      <c r="CA27" t="s">
        <v>69</v>
      </c>
      <c r="CB27">
        <v>181.191</v>
      </c>
      <c r="CC27" t="s">
        <v>69</v>
      </c>
      <c r="CD27" t="s">
        <v>69</v>
      </c>
      <c r="CE27">
        <v>352</v>
      </c>
      <c r="CF27" t="s">
        <v>76</v>
      </c>
      <c r="CG27" t="s">
        <v>69</v>
      </c>
      <c r="CH27" t="s">
        <v>75</v>
      </c>
      <c r="CI27" t="s">
        <v>69</v>
      </c>
      <c r="CJ27">
        <v>146.18899999999999</v>
      </c>
      <c r="CK27" t="s">
        <v>69</v>
      </c>
      <c r="CL27" t="s">
        <v>69</v>
      </c>
    </row>
    <row r="28" spans="1:90" x14ac:dyDescent="0.25">
      <c r="A28">
        <v>7</v>
      </c>
      <c r="B28" t="str">
        <f>HYPERLINK("http://www.ncbi.nlm.nih.gov/protein/NP_001012006.1","NP_001012006.1")</f>
        <v>NP_001012006.1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HYPERLINK("http://www.ncbi.nlm.nih.gov/protein/NP_001012006.1","angiotensin-converting enzyme 2 precursor")</f>
        <v>angiotensin-converting enzyme 2 precursor</v>
      </c>
      <c r="I28" t="s">
        <v>154</v>
      </c>
      <c r="J28" t="s">
        <v>69</v>
      </c>
      <c r="K28">
        <v>19</v>
      </c>
      <c r="L28" t="s">
        <v>155</v>
      </c>
      <c r="M28" t="s">
        <v>69</v>
      </c>
      <c r="N28" t="s">
        <v>150</v>
      </c>
      <c r="O28" t="s">
        <v>69</v>
      </c>
      <c r="P28">
        <v>105.093</v>
      </c>
      <c r="Q28" t="s">
        <v>69</v>
      </c>
      <c r="R28" t="s">
        <v>69</v>
      </c>
      <c r="S28">
        <v>24</v>
      </c>
      <c r="T28" t="s">
        <v>76</v>
      </c>
      <c r="U28" t="s">
        <v>153</v>
      </c>
      <c r="V28" t="s">
        <v>75</v>
      </c>
      <c r="W28" t="s">
        <v>153</v>
      </c>
      <c r="X28">
        <v>146.18899999999999</v>
      </c>
      <c r="Y28" t="s">
        <v>69</v>
      </c>
      <c r="Z28" t="s">
        <v>69</v>
      </c>
      <c r="AA28">
        <v>30</v>
      </c>
      <c r="AB28" t="s">
        <v>153</v>
      </c>
      <c r="AC28" t="s">
        <v>153</v>
      </c>
      <c r="AD28" t="s">
        <v>148</v>
      </c>
      <c r="AE28" t="s">
        <v>153</v>
      </c>
      <c r="AF28">
        <v>132.119</v>
      </c>
      <c r="AG28" t="s">
        <v>69</v>
      </c>
      <c r="AH28" t="s">
        <v>69</v>
      </c>
      <c r="AI28">
        <v>31</v>
      </c>
      <c r="AJ28" t="s">
        <v>76</v>
      </c>
      <c r="AK28" t="s">
        <v>69</v>
      </c>
      <c r="AL28" t="s">
        <v>75</v>
      </c>
      <c r="AM28" t="s">
        <v>69</v>
      </c>
      <c r="AN28">
        <v>146.18899999999999</v>
      </c>
      <c r="AO28" t="s">
        <v>69</v>
      </c>
      <c r="AP28" t="s">
        <v>69</v>
      </c>
      <c r="AQ28">
        <v>35</v>
      </c>
      <c r="AR28" t="s">
        <v>119</v>
      </c>
      <c r="AS28" t="s">
        <v>69</v>
      </c>
      <c r="AT28" t="s">
        <v>120</v>
      </c>
      <c r="AU28" t="s">
        <v>69</v>
      </c>
      <c r="AV28">
        <v>147.131</v>
      </c>
      <c r="AW28" t="s">
        <v>69</v>
      </c>
      <c r="AX28" t="s">
        <v>69</v>
      </c>
      <c r="AY28">
        <v>38</v>
      </c>
      <c r="AZ28" t="s">
        <v>156</v>
      </c>
      <c r="BA28" t="s">
        <v>69</v>
      </c>
      <c r="BB28" t="s">
        <v>120</v>
      </c>
      <c r="BC28" t="s">
        <v>69</v>
      </c>
      <c r="BD28">
        <v>133.10400000000001</v>
      </c>
      <c r="BE28" t="s">
        <v>69</v>
      </c>
      <c r="BF28" t="s">
        <v>69</v>
      </c>
      <c r="BG28">
        <v>41</v>
      </c>
      <c r="BH28" t="s">
        <v>69</v>
      </c>
      <c r="BI28" t="s">
        <v>69</v>
      </c>
      <c r="BJ28" t="s">
        <v>152</v>
      </c>
      <c r="BK28" t="s">
        <v>69</v>
      </c>
      <c r="BL28">
        <v>181.191</v>
      </c>
      <c r="BM28" t="s">
        <v>69</v>
      </c>
      <c r="BN28" t="s">
        <v>69</v>
      </c>
      <c r="BO28">
        <v>42</v>
      </c>
      <c r="BP28" t="s">
        <v>147</v>
      </c>
      <c r="BQ28" t="s">
        <v>69</v>
      </c>
      <c r="BR28" t="s">
        <v>148</v>
      </c>
      <c r="BS28" t="s">
        <v>69</v>
      </c>
      <c r="BT28">
        <v>146.14599999999999</v>
      </c>
      <c r="BU28" t="s">
        <v>69</v>
      </c>
      <c r="BV28" t="s">
        <v>69</v>
      </c>
      <c r="BW28">
        <v>83</v>
      </c>
      <c r="BX28" t="s">
        <v>151</v>
      </c>
      <c r="BY28" t="s">
        <v>153</v>
      </c>
      <c r="BZ28" t="s">
        <v>152</v>
      </c>
      <c r="CA28" t="s">
        <v>69</v>
      </c>
      <c r="CB28">
        <v>165.19200000000001</v>
      </c>
      <c r="CC28" t="s">
        <v>69</v>
      </c>
      <c r="CD28" t="s">
        <v>69</v>
      </c>
      <c r="CE28">
        <v>353</v>
      </c>
      <c r="CF28" t="s">
        <v>157</v>
      </c>
      <c r="CG28" t="s">
        <v>153</v>
      </c>
      <c r="CH28" t="s">
        <v>75</v>
      </c>
      <c r="CI28" t="s">
        <v>69</v>
      </c>
      <c r="CJ28">
        <v>155.15600000000001</v>
      </c>
      <c r="CK28" t="s">
        <v>69</v>
      </c>
      <c r="CL28" t="s">
        <v>69</v>
      </c>
    </row>
    <row r="29" spans="1:90" x14ac:dyDescent="0.25">
      <c r="A29">
        <v>7</v>
      </c>
      <c r="B29" t="str">
        <f>HYPERLINK("http://www.ncbi.nlm.nih.gov/protein/XP_006164754.1","XP_006164754.1")</f>
        <v>XP_006164754.1</v>
      </c>
      <c r="C29">
        <v>59507</v>
      </c>
      <c r="D29" t="str">
        <f>HYPERLINK("http://www.ncbi.nlm.nih.gov/Taxonomy/Browser/wwwtax.cgi?mode=Info&amp;id=246437&amp;lvl=3&amp;lin=f&amp;keep=1&amp;srchmode=1&amp;unlock","246437")</f>
        <v>246437</v>
      </c>
      <c r="E29" t="s">
        <v>66</v>
      </c>
      <c r="F29" t="str">
        <f>HYPERLINK("http://www.ncbi.nlm.nih.gov/Taxonomy/Browser/wwwtax.cgi?mode=Info&amp;id=246437&amp;lvl=3&amp;lin=f&amp;keep=1&amp;srchmode=1&amp;unlock","Tupaia chinensis")</f>
        <v>Tupaia chinensis</v>
      </c>
      <c r="G29" t="s">
        <v>97</v>
      </c>
      <c r="H29" t="str">
        <f>HYPERLINK("http://www.ncbi.nlm.nih.gov/protein/XP_006164754.1","angiotensin-converting enzyme 2")</f>
        <v>angiotensin-converting enzyme 2</v>
      </c>
      <c r="I29" t="s">
        <v>154</v>
      </c>
      <c r="J29" t="s">
        <v>69</v>
      </c>
      <c r="K29">
        <v>19</v>
      </c>
      <c r="L29" t="s">
        <v>149</v>
      </c>
      <c r="M29" t="s">
        <v>153</v>
      </c>
      <c r="N29" t="s">
        <v>150</v>
      </c>
      <c r="O29" t="s">
        <v>69</v>
      </c>
      <c r="P29">
        <v>119.119</v>
      </c>
      <c r="Q29" t="s">
        <v>69</v>
      </c>
      <c r="R29" t="s">
        <v>69</v>
      </c>
      <c r="S29">
        <v>24</v>
      </c>
      <c r="T29" t="s">
        <v>119</v>
      </c>
      <c r="U29" t="s">
        <v>153</v>
      </c>
      <c r="V29" t="s">
        <v>120</v>
      </c>
      <c r="W29" t="s">
        <v>153</v>
      </c>
      <c r="X29">
        <v>147.131</v>
      </c>
      <c r="Y29" t="s">
        <v>69</v>
      </c>
      <c r="Z29" t="s">
        <v>69</v>
      </c>
      <c r="AA29">
        <v>30</v>
      </c>
      <c r="AB29" t="s">
        <v>153</v>
      </c>
      <c r="AC29" t="s">
        <v>153</v>
      </c>
      <c r="AD29" t="s">
        <v>148</v>
      </c>
      <c r="AE29" t="s">
        <v>153</v>
      </c>
      <c r="AF29">
        <v>132.119</v>
      </c>
      <c r="AG29" t="s">
        <v>69</v>
      </c>
      <c r="AH29" t="s">
        <v>69</v>
      </c>
      <c r="AI29">
        <v>31</v>
      </c>
      <c r="AJ29" t="s">
        <v>76</v>
      </c>
      <c r="AK29" t="s">
        <v>69</v>
      </c>
      <c r="AL29" t="s">
        <v>75</v>
      </c>
      <c r="AM29" t="s">
        <v>69</v>
      </c>
      <c r="AN29">
        <v>146.18899999999999</v>
      </c>
      <c r="AO29" t="s">
        <v>69</v>
      </c>
      <c r="AP29" t="s">
        <v>69</v>
      </c>
      <c r="AQ29">
        <v>35</v>
      </c>
      <c r="AR29" t="s">
        <v>119</v>
      </c>
      <c r="AS29" t="s">
        <v>69</v>
      </c>
      <c r="AT29" t="s">
        <v>120</v>
      </c>
      <c r="AU29" t="s">
        <v>69</v>
      </c>
      <c r="AV29">
        <v>147.131</v>
      </c>
      <c r="AW29" t="s">
        <v>69</v>
      </c>
      <c r="AX29" t="s">
        <v>69</v>
      </c>
      <c r="AY29">
        <v>38</v>
      </c>
      <c r="AZ29" t="s">
        <v>119</v>
      </c>
      <c r="BA29" t="s">
        <v>153</v>
      </c>
      <c r="BB29" t="s">
        <v>120</v>
      </c>
      <c r="BC29" t="s">
        <v>69</v>
      </c>
      <c r="BD29">
        <v>147.131</v>
      </c>
      <c r="BE29" t="s">
        <v>69</v>
      </c>
      <c r="BF29" t="s">
        <v>69</v>
      </c>
      <c r="BG29">
        <v>41</v>
      </c>
      <c r="BH29" t="s">
        <v>157</v>
      </c>
      <c r="BI29" t="s">
        <v>153</v>
      </c>
      <c r="BJ29" t="s">
        <v>75</v>
      </c>
      <c r="BK29" t="s">
        <v>153</v>
      </c>
      <c r="BL29">
        <v>155.15600000000001</v>
      </c>
      <c r="BM29" t="s">
        <v>69</v>
      </c>
      <c r="BN29" t="s">
        <v>69</v>
      </c>
      <c r="BO29">
        <v>42</v>
      </c>
      <c r="BP29" t="s">
        <v>147</v>
      </c>
      <c r="BQ29" t="s">
        <v>69</v>
      </c>
      <c r="BR29" t="s">
        <v>148</v>
      </c>
      <c r="BS29" t="s">
        <v>69</v>
      </c>
      <c r="BT29">
        <v>146.14599999999999</v>
      </c>
      <c r="BU29" t="s">
        <v>69</v>
      </c>
      <c r="BV29" t="s">
        <v>69</v>
      </c>
      <c r="BW29">
        <v>83</v>
      </c>
      <c r="BX29" t="s">
        <v>69</v>
      </c>
      <c r="BY29" t="s">
        <v>69</v>
      </c>
      <c r="BZ29" t="s">
        <v>152</v>
      </c>
      <c r="CA29" t="s">
        <v>69</v>
      </c>
      <c r="CB29">
        <v>181.191</v>
      </c>
      <c r="CC29" t="s">
        <v>69</v>
      </c>
      <c r="CD29" t="s">
        <v>69</v>
      </c>
      <c r="CE29">
        <v>353</v>
      </c>
      <c r="CF29" t="s">
        <v>76</v>
      </c>
      <c r="CG29" t="s">
        <v>69</v>
      </c>
      <c r="CH29" t="s">
        <v>75</v>
      </c>
      <c r="CI29" t="s">
        <v>69</v>
      </c>
      <c r="CJ29">
        <v>146.18899999999999</v>
      </c>
      <c r="CK29" t="s">
        <v>69</v>
      </c>
      <c r="CL29" t="s">
        <v>69</v>
      </c>
    </row>
    <row r="30" spans="1:90" x14ac:dyDescent="0.25">
      <c r="A30">
        <v>7</v>
      </c>
      <c r="B30" t="str">
        <f>HYPERLINK("http://www.ncbi.nlm.nih.gov/protein/XP_015974412.2","XP_015974412.2")</f>
        <v>XP_015974412.2</v>
      </c>
      <c r="C30">
        <v>117142</v>
      </c>
      <c r="D30" t="str">
        <f>HYPERLINK("http://www.ncbi.nlm.nih.gov/Taxonomy/Browser/wwwtax.cgi?mode=Info&amp;id=9407&amp;lvl=3&amp;lin=f&amp;keep=1&amp;srchmode=1&amp;unlock","9407")</f>
        <v>9407</v>
      </c>
      <c r="E30" t="s">
        <v>66</v>
      </c>
      <c r="F30" t="str">
        <f>HYPERLINK("http://www.ncbi.nlm.nih.gov/Taxonomy/Browser/wwwtax.cgi?mode=Info&amp;id=9407&amp;lvl=3&amp;lin=f&amp;keep=1&amp;srchmode=1&amp;unlock","Rousettus aegyptiacus")</f>
        <v>Rousettus aegyptiacus</v>
      </c>
      <c r="G30" t="s">
        <v>103</v>
      </c>
      <c r="H30" t="str">
        <f>HYPERLINK("http://www.ncbi.nlm.nih.gov/protein/XP_015974412.2","angiotensin-converting enzyme 2")</f>
        <v>angiotensin-converting enzyme 2</v>
      </c>
      <c r="I30" t="s">
        <v>154</v>
      </c>
      <c r="J30" t="s">
        <v>69</v>
      </c>
      <c r="K30">
        <v>19</v>
      </c>
      <c r="L30" t="s">
        <v>155</v>
      </c>
      <c r="M30" t="s">
        <v>69</v>
      </c>
      <c r="N30" t="s">
        <v>150</v>
      </c>
      <c r="O30" t="s">
        <v>69</v>
      </c>
      <c r="P30">
        <v>105.093</v>
      </c>
      <c r="Q30" t="s">
        <v>69</v>
      </c>
      <c r="R30" t="s">
        <v>69</v>
      </c>
      <c r="S30">
        <v>24</v>
      </c>
      <c r="T30" t="s">
        <v>72</v>
      </c>
      <c r="U30" t="s">
        <v>153</v>
      </c>
      <c r="V30" t="s">
        <v>71</v>
      </c>
      <c r="W30" t="s">
        <v>153</v>
      </c>
      <c r="X30">
        <v>131.17500000000001</v>
      </c>
      <c r="Y30" t="s">
        <v>69</v>
      </c>
      <c r="Z30" t="s">
        <v>69</v>
      </c>
      <c r="AA30">
        <v>30</v>
      </c>
      <c r="AB30" t="s">
        <v>119</v>
      </c>
      <c r="AC30" t="s">
        <v>153</v>
      </c>
      <c r="AD30" t="s">
        <v>120</v>
      </c>
      <c r="AE30" t="s">
        <v>69</v>
      </c>
      <c r="AF30">
        <v>147.131</v>
      </c>
      <c r="AG30" t="s">
        <v>69</v>
      </c>
      <c r="AH30" t="s">
        <v>69</v>
      </c>
      <c r="AI30">
        <v>31</v>
      </c>
      <c r="AJ30" t="s">
        <v>76</v>
      </c>
      <c r="AK30" t="s">
        <v>69</v>
      </c>
      <c r="AL30" t="s">
        <v>75</v>
      </c>
      <c r="AM30" t="s">
        <v>69</v>
      </c>
      <c r="AN30">
        <v>146.18899999999999</v>
      </c>
      <c r="AO30" t="s">
        <v>69</v>
      </c>
      <c r="AP30" t="s">
        <v>69</v>
      </c>
      <c r="AQ30">
        <v>35</v>
      </c>
      <c r="AR30" t="s">
        <v>119</v>
      </c>
      <c r="AS30" t="s">
        <v>69</v>
      </c>
      <c r="AT30" t="s">
        <v>120</v>
      </c>
      <c r="AU30" t="s">
        <v>69</v>
      </c>
      <c r="AV30">
        <v>147.131</v>
      </c>
      <c r="AW30" t="s">
        <v>69</v>
      </c>
      <c r="AX30" t="s">
        <v>69</v>
      </c>
      <c r="AY30">
        <v>38</v>
      </c>
      <c r="AZ30" t="s">
        <v>156</v>
      </c>
      <c r="BA30" t="s">
        <v>69</v>
      </c>
      <c r="BB30" t="s">
        <v>120</v>
      </c>
      <c r="BC30" t="s">
        <v>69</v>
      </c>
      <c r="BD30">
        <v>133.10400000000001</v>
      </c>
      <c r="BE30" t="s">
        <v>69</v>
      </c>
      <c r="BF30" t="s">
        <v>69</v>
      </c>
      <c r="BG30">
        <v>41</v>
      </c>
      <c r="BH30" t="s">
        <v>69</v>
      </c>
      <c r="BI30" t="s">
        <v>69</v>
      </c>
      <c r="BJ30" t="s">
        <v>152</v>
      </c>
      <c r="BK30" t="s">
        <v>69</v>
      </c>
      <c r="BL30">
        <v>181.191</v>
      </c>
      <c r="BM30" t="s">
        <v>69</v>
      </c>
      <c r="BN30" t="s">
        <v>69</v>
      </c>
      <c r="BO30">
        <v>42</v>
      </c>
      <c r="BP30" t="s">
        <v>147</v>
      </c>
      <c r="BQ30" t="s">
        <v>69</v>
      </c>
      <c r="BR30" t="s">
        <v>148</v>
      </c>
      <c r="BS30" t="s">
        <v>69</v>
      </c>
      <c r="BT30">
        <v>146.14599999999999</v>
      </c>
      <c r="BU30" t="s">
        <v>69</v>
      </c>
      <c r="BV30" t="s">
        <v>69</v>
      </c>
      <c r="BW30">
        <v>83</v>
      </c>
      <c r="BX30" t="s">
        <v>69</v>
      </c>
      <c r="BY30" t="s">
        <v>69</v>
      </c>
      <c r="BZ30" t="s">
        <v>152</v>
      </c>
      <c r="CA30" t="s">
        <v>69</v>
      </c>
      <c r="CB30">
        <v>181.191</v>
      </c>
      <c r="CC30" t="s">
        <v>69</v>
      </c>
      <c r="CD30" t="s">
        <v>69</v>
      </c>
      <c r="CE30">
        <v>353</v>
      </c>
      <c r="CF30" t="s">
        <v>76</v>
      </c>
      <c r="CG30" t="s">
        <v>69</v>
      </c>
      <c r="CH30" t="s">
        <v>75</v>
      </c>
      <c r="CI30" t="s">
        <v>69</v>
      </c>
      <c r="CJ30">
        <v>146.18899999999999</v>
      </c>
      <c r="CK30" t="s">
        <v>69</v>
      </c>
      <c r="CL30" t="s">
        <v>69</v>
      </c>
    </row>
    <row r="31" spans="1:90" x14ac:dyDescent="0.25">
      <c r="A31">
        <v>7</v>
      </c>
      <c r="B31" t="str">
        <f>HYPERLINK("http://www.ncbi.nlm.nih.gov/protein/XP_020768965.1","XP_020768965.1")</f>
        <v>XP_020768965.1</v>
      </c>
      <c r="C31">
        <v>48218</v>
      </c>
      <c r="D31" t="str">
        <f>HYPERLINK("http://www.ncbi.nlm.nih.gov/Taxonomy/Browser/wwwtax.cgi?mode=Info&amp;id=9880&amp;lvl=3&amp;lin=f&amp;keep=1&amp;srchmode=1&amp;unlock","9880")</f>
        <v>9880</v>
      </c>
      <c r="E31" t="s">
        <v>66</v>
      </c>
      <c r="F31" t="str">
        <f>HYPERLINK("http://www.ncbi.nlm.nih.gov/Taxonomy/Browser/wwwtax.cgi?mode=Info&amp;id=9880&amp;lvl=3&amp;lin=f&amp;keep=1&amp;srchmode=1&amp;unlock","Odocoileus virginianus texanus")</f>
        <v>Odocoileus virginianus texanus</v>
      </c>
      <c r="G31" t="s">
        <v>81</v>
      </c>
      <c r="H31" t="str">
        <f>HYPERLINK("http://www.ncbi.nlm.nih.gov/protein/XP_020768965.1","angiotensin-converting enzyme 2")</f>
        <v>angiotensin-converting enzyme 2</v>
      </c>
      <c r="I31" t="s">
        <v>154</v>
      </c>
      <c r="J31" t="s">
        <v>69</v>
      </c>
      <c r="K31">
        <v>19</v>
      </c>
      <c r="L31" t="s">
        <v>155</v>
      </c>
      <c r="M31" t="s">
        <v>69</v>
      </c>
      <c r="N31" t="s">
        <v>150</v>
      </c>
      <c r="O31" t="s">
        <v>69</v>
      </c>
      <c r="P31">
        <v>105.093</v>
      </c>
      <c r="Q31" t="s">
        <v>69</v>
      </c>
      <c r="R31" t="s">
        <v>69</v>
      </c>
      <c r="S31">
        <v>24</v>
      </c>
      <c r="T31" t="s">
        <v>147</v>
      </c>
      <c r="U31" t="s">
        <v>69</v>
      </c>
      <c r="V31" t="s">
        <v>148</v>
      </c>
      <c r="W31" t="s">
        <v>69</v>
      </c>
      <c r="X31">
        <v>146.14599999999999</v>
      </c>
      <c r="Y31" t="s">
        <v>69</v>
      </c>
      <c r="Z31" t="s">
        <v>69</v>
      </c>
      <c r="AA31">
        <v>30</v>
      </c>
      <c r="AB31" t="s">
        <v>119</v>
      </c>
      <c r="AC31" t="s">
        <v>153</v>
      </c>
      <c r="AD31" t="s">
        <v>120</v>
      </c>
      <c r="AE31" t="s">
        <v>69</v>
      </c>
      <c r="AF31">
        <v>147.131</v>
      </c>
      <c r="AG31" t="s">
        <v>69</v>
      </c>
      <c r="AH31" t="s">
        <v>69</v>
      </c>
      <c r="AI31">
        <v>31</v>
      </c>
      <c r="AJ31" t="s">
        <v>76</v>
      </c>
      <c r="AK31" t="s">
        <v>69</v>
      </c>
      <c r="AL31" t="s">
        <v>75</v>
      </c>
      <c r="AM31" t="s">
        <v>69</v>
      </c>
      <c r="AN31">
        <v>146.18899999999999</v>
      </c>
      <c r="AO31" t="s">
        <v>69</v>
      </c>
      <c r="AP31" t="s">
        <v>69</v>
      </c>
      <c r="AQ31">
        <v>35</v>
      </c>
      <c r="AR31" t="s">
        <v>119</v>
      </c>
      <c r="AS31" t="s">
        <v>69</v>
      </c>
      <c r="AT31" t="s">
        <v>120</v>
      </c>
      <c r="AU31" t="s">
        <v>69</v>
      </c>
      <c r="AV31">
        <v>147.131</v>
      </c>
      <c r="AW31" t="s">
        <v>69</v>
      </c>
      <c r="AX31" t="s">
        <v>69</v>
      </c>
      <c r="AY31">
        <v>38</v>
      </c>
      <c r="AZ31" t="s">
        <v>156</v>
      </c>
      <c r="BA31" t="s">
        <v>69</v>
      </c>
      <c r="BB31" t="s">
        <v>120</v>
      </c>
      <c r="BC31" t="s">
        <v>69</v>
      </c>
      <c r="BD31">
        <v>133.10400000000001</v>
      </c>
      <c r="BE31" t="s">
        <v>69</v>
      </c>
      <c r="BF31" t="s">
        <v>69</v>
      </c>
      <c r="BG31">
        <v>41</v>
      </c>
      <c r="BH31" t="s">
        <v>69</v>
      </c>
      <c r="BI31" t="s">
        <v>69</v>
      </c>
      <c r="BJ31" t="s">
        <v>152</v>
      </c>
      <c r="BK31" t="s">
        <v>69</v>
      </c>
      <c r="BL31">
        <v>181.191</v>
      </c>
      <c r="BM31" t="s">
        <v>69</v>
      </c>
      <c r="BN31" t="s">
        <v>69</v>
      </c>
      <c r="BO31">
        <v>42</v>
      </c>
      <c r="BP31" t="s">
        <v>147</v>
      </c>
      <c r="BQ31" t="s">
        <v>69</v>
      </c>
      <c r="BR31" t="s">
        <v>148</v>
      </c>
      <c r="BS31" t="s">
        <v>69</v>
      </c>
      <c r="BT31">
        <v>146.14599999999999</v>
      </c>
      <c r="BU31" t="s">
        <v>69</v>
      </c>
      <c r="BV31" t="s">
        <v>69</v>
      </c>
      <c r="BW31">
        <v>83</v>
      </c>
      <c r="BX31" t="s">
        <v>69</v>
      </c>
      <c r="BY31" t="s">
        <v>69</v>
      </c>
      <c r="BZ31" t="s">
        <v>152</v>
      </c>
      <c r="CA31" t="s">
        <v>69</v>
      </c>
      <c r="CB31">
        <v>181.191</v>
      </c>
      <c r="CC31" t="s">
        <v>69</v>
      </c>
      <c r="CD31" t="s">
        <v>69</v>
      </c>
      <c r="CE31">
        <v>352</v>
      </c>
      <c r="CF31" t="s">
        <v>76</v>
      </c>
      <c r="CG31" t="s">
        <v>69</v>
      </c>
      <c r="CH31" t="s">
        <v>75</v>
      </c>
      <c r="CI31" t="s">
        <v>69</v>
      </c>
      <c r="CJ31">
        <v>146.18899999999999</v>
      </c>
      <c r="CK31" t="s">
        <v>69</v>
      </c>
      <c r="CL31" t="s">
        <v>69</v>
      </c>
    </row>
    <row r="32" spans="1:90" x14ac:dyDescent="0.25">
      <c r="A32">
        <v>7</v>
      </c>
      <c r="B32" t="str">
        <f>HYPERLINK("http://www.ncbi.nlm.nih.gov/protein/XP_025066628.1","XP_025066628.1")</f>
        <v>XP_025066628.1</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HYPERLINK("http://www.ncbi.nlm.nih.gov/protein/XP_025066628.1","angiotensin-converting enzyme 2 isoform X1")</f>
        <v>angiotensin-converting enzyme 2 isoform X1</v>
      </c>
      <c r="I32" t="s">
        <v>154</v>
      </c>
      <c r="J32" t="s">
        <v>153</v>
      </c>
      <c r="K32">
        <v>19</v>
      </c>
      <c r="L32" t="s">
        <v>156</v>
      </c>
      <c r="M32" t="s">
        <v>153</v>
      </c>
      <c r="N32" t="s">
        <v>120</v>
      </c>
      <c r="O32" t="s">
        <v>153</v>
      </c>
      <c r="P32">
        <v>133.10400000000001</v>
      </c>
      <c r="Q32" t="s">
        <v>69</v>
      </c>
      <c r="R32" t="s">
        <v>69</v>
      </c>
      <c r="S32" t="s">
        <v>159</v>
      </c>
      <c r="T32" t="s">
        <v>159</v>
      </c>
      <c r="U32" t="s">
        <v>153</v>
      </c>
      <c r="V32" t="s">
        <v>159</v>
      </c>
      <c r="W32" t="s">
        <v>153</v>
      </c>
      <c r="X32" t="s">
        <v>159</v>
      </c>
      <c r="Y32" t="s">
        <v>153</v>
      </c>
      <c r="Z32" t="s">
        <v>153</v>
      </c>
      <c r="AA32">
        <v>25</v>
      </c>
      <c r="AB32" t="s">
        <v>153</v>
      </c>
      <c r="AC32" t="s">
        <v>153</v>
      </c>
      <c r="AD32" t="s">
        <v>148</v>
      </c>
      <c r="AE32" t="s">
        <v>153</v>
      </c>
      <c r="AF32">
        <v>132.119</v>
      </c>
      <c r="AG32" t="s">
        <v>69</v>
      </c>
      <c r="AH32" t="s">
        <v>69</v>
      </c>
      <c r="AI32">
        <v>26</v>
      </c>
      <c r="AJ32" t="s">
        <v>147</v>
      </c>
      <c r="AK32" t="s">
        <v>153</v>
      </c>
      <c r="AL32" t="s">
        <v>148</v>
      </c>
      <c r="AM32" t="s">
        <v>153</v>
      </c>
      <c r="AN32">
        <v>146.14599999999999</v>
      </c>
      <c r="AO32" t="s">
        <v>69</v>
      </c>
      <c r="AP32" t="s">
        <v>69</v>
      </c>
      <c r="AQ32">
        <v>30</v>
      </c>
      <c r="AR32" t="s">
        <v>153</v>
      </c>
      <c r="AS32" t="s">
        <v>153</v>
      </c>
      <c r="AT32" t="s">
        <v>148</v>
      </c>
      <c r="AU32" t="s">
        <v>153</v>
      </c>
      <c r="AV32">
        <v>132.119</v>
      </c>
      <c r="AW32" t="s">
        <v>69</v>
      </c>
      <c r="AX32" t="s">
        <v>69</v>
      </c>
      <c r="AY32">
        <v>33</v>
      </c>
      <c r="AZ32" t="s">
        <v>70</v>
      </c>
      <c r="BA32" t="s">
        <v>153</v>
      </c>
      <c r="BB32" t="s">
        <v>71</v>
      </c>
      <c r="BC32" t="s">
        <v>153</v>
      </c>
      <c r="BD32">
        <v>75.066999999999993</v>
      </c>
      <c r="BE32" t="s">
        <v>153</v>
      </c>
      <c r="BF32" t="s">
        <v>153</v>
      </c>
      <c r="BG32">
        <v>36</v>
      </c>
      <c r="BH32" t="s">
        <v>69</v>
      </c>
      <c r="BI32" t="s">
        <v>69</v>
      </c>
      <c r="BJ32" t="s">
        <v>152</v>
      </c>
      <c r="BK32" t="s">
        <v>69</v>
      </c>
      <c r="BL32">
        <v>181.191</v>
      </c>
      <c r="BM32" t="s">
        <v>69</v>
      </c>
      <c r="BN32" t="s">
        <v>69</v>
      </c>
      <c r="BO32">
        <v>37</v>
      </c>
      <c r="BP32" t="s">
        <v>119</v>
      </c>
      <c r="BQ32" t="s">
        <v>153</v>
      </c>
      <c r="BR32" t="s">
        <v>120</v>
      </c>
      <c r="BS32" t="s">
        <v>153</v>
      </c>
      <c r="BT32">
        <v>147.131</v>
      </c>
      <c r="BU32" t="s">
        <v>69</v>
      </c>
      <c r="BV32" t="s">
        <v>69</v>
      </c>
      <c r="BW32">
        <v>78</v>
      </c>
      <c r="BX32" t="s">
        <v>69</v>
      </c>
      <c r="BY32" t="s">
        <v>69</v>
      </c>
      <c r="BZ32" t="s">
        <v>152</v>
      </c>
      <c r="CA32" t="s">
        <v>69</v>
      </c>
      <c r="CB32">
        <v>181.191</v>
      </c>
      <c r="CC32" t="s">
        <v>69</v>
      </c>
      <c r="CD32" t="s">
        <v>69</v>
      </c>
      <c r="CE32">
        <v>348</v>
      </c>
      <c r="CF32" t="s">
        <v>116</v>
      </c>
      <c r="CG32" t="s">
        <v>153</v>
      </c>
      <c r="CH32" t="s">
        <v>117</v>
      </c>
      <c r="CI32" t="s">
        <v>153</v>
      </c>
      <c r="CJ32">
        <v>149.208</v>
      </c>
      <c r="CK32" t="s">
        <v>69</v>
      </c>
      <c r="CL32" t="s">
        <v>69</v>
      </c>
    </row>
    <row r="33" spans="1:90" x14ac:dyDescent="0.25">
      <c r="A33">
        <v>7</v>
      </c>
      <c r="B33" t="str">
        <f>HYPERLINK("http://www.ncbi.nlm.nih.gov/protein/XP_018104311.1","XP_018104311.1")</f>
        <v>XP_018104311.1</v>
      </c>
      <c r="C33">
        <v>146185</v>
      </c>
      <c r="D33" t="str">
        <f>HYPERLINK("http://www.ncbi.nlm.nih.gov/Taxonomy/Browser/wwwtax.cgi?mode=Info&amp;id=8355&amp;lvl=3&amp;lin=f&amp;keep=1&amp;srchmode=1&amp;unlock","8355")</f>
        <v>8355</v>
      </c>
      <c r="E33" t="s">
        <v>111</v>
      </c>
      <c r="F33" t="str">
        <f>HYPERLINK("http://www.ncbi.nlm.nih.gov/Taxonomy/Browser/wwwtax.cgi?mode=Info&amp;id=8355&amp;lvl=3&amp;lin=f&amp;keep=1&amp;srchmode=1&amp;unlock","Xenopus laevis")</f>
        <v>Xenopus laevis</v>
      </c>
      <c r="G33" t="s">
        <v>112</v>
      </c>
      <c r="H33" t="str">
        <f>HYPERLINK("http://www.ncbi.nlm.nih.gov/protein/XP_018104311.1","angiotensin-converting enzyme 2")</f>
        <v>angiotensin-converting enzyme 2</v>
      </c>
      <c r="I33" t="s">
        <v>154</v>
      </c>
      <c r="J33" t="s">
        <v>153</v>
      </c>
      <c r="K33">
        <v>20</v>
      </c>
      <c r="L33" t="s">
        <v>147</v>
      </c>
      <c r="M33" t="s">
        <v>153</v>
      </c>
      <c r="N33" t="s">
        <v>148</v>
      </c>
      <c r="O33" t="s">
        <v>153</v>
      </c>
      <c r="P33">
        <v>146.14599999999999</v>
      </c>
      <c r="Q33" t="s">
        <v>153</v>
      </c>
      <c r="R33" t="s">
        <v>153</v>
      </c>
      <c r="S33">
        <v>25</v>
      </c>
      <c r="T33" t="s">
        <v>147</v>
      </c>
      <c r="U33" t="s">
        <v>69</v>
      </c>
      <c r="V33" t="s">
        <v>148</v>
      </c>
      <c r="W33" t="s">
        <v>69</v>
      </c>
      <c r="X33">
        <v>146.14599999999999</v>
      </c>
      <c r="Y33" t="s">
        <v>69</v>
      </c>
      <c r="Z33" t="s">
        <v>69</v>
      </c>
      <c r="AA33">
        <v>31</v>
      </c>
      <c r="AB33" t="s">
        <v>76</v>
      </c>
      <c r="AC33" t="s">
        <v>153</v>
      </c>
      <c r="AD33" t="s">
        <v>75</v>
      </c>
      <c r="AE33" t="s">
        <v>153</v>
      </c>
      <c r="AF33">
        <v>146.18899999999999</v>
      </c>
      <c r="AG33" t="s">
        <v>69</v>
      </c>
      <c r="AH33" t="s">
        <v>69</v>
      </c>
      <c r="AI33">
        <v>32</v>
      </c>
      <c r="AJ33" t="s">
        <v>147</v>
      </c>
      <c r="AK33" t="s">
        <v>153</v>
      </c>
      <c r="AL33" t="s">
        <v>148</v>
      </c>
      <c r="AM33" t="s">
        <v>153</v>
      </c>
      <c r="AN33">
        <v>146.14599999999999</v>
      </c>
      <c r="AO33" t="s">
        <v>69</v>
      </c>
      <c r="AP33" t="s">
        <v>69</v>
      </c>
      <c r="AQ33">
        <v>36</v>
      </c>
      <c r="AR33" t="s">
        <v>119</v>
      </c>
      <c r="AS33" t="s">
        <v>69</v>
      </c>
      <c r="AT33" t="s">
        <v>120</v>
      </c>
      <c r="AU33" t="s">
        <v>69</v>
      </c>
      <c r="AV33">
        <v>147.131</v>
      </c>
      <c r="AW33" t="s">
        <v>69</v>
      </c>
      <c r="AX33" t="s">
        <v>69</v>
      </c>
      <c r="AY33">
        <v>39</v>
      </c>
      <c r="AZ33" t="s">
        <v>145</v>
      </c>
      <c r="BA33" t="s">
        <v>153</v>
      </c>
      <c r="BB33" t="s">
        <v>71</v>
      </c>
      <c r="BC33" t="s">
        <v>153</v>
      </c>
      <c r="BD33">
        <v>131.17500000000001</v>
      </c>
      <c r="BE33" t="s">
        <v>69</v>
      </c>
      <c r="BF33" t="s">
        <v>69</v>
      </c>
      <c r="BG33">
        <v>42</v>
      </c>
      <c r="BH33" t="s">
        <v>157</v>
      </c>
      <c r="BI33" t="s">
        <v>153</v>
      </c>
      <c r="BJ33" t="s">
        <v>75</v>
      </c>
      <c r="BK33" t="s">
        <v>153</v>
      </c>
      <c r="BL33">
        <v>155.15600000000001</v>
      </c>
      <c r="BM33" t="s">
        <v>69</v>
      </c>
      <c r="BN33" t="s">
        <v>69</v>
      </c>
      <c r="BO33">
        <v>43</v>
      </c>
      <c r="BP33" t="s">
        <v>147</v>
      </c>
      <c r="BQ33" t="s">
        <v>69</v>
      </c>
      <c r="BR33" t="s">
        <v>148</v>
      </c>
      <c r="BS33" t="s">
        <v>69</v>
      </c>
      <c r="BT33">
        <v>146.14599999999999</v>
      </c>
      <c r="BU33" t="s">
        <v>69</v>
      </c>
      <c r="BV33" t="s">
        <v>69</v>
      </c>
      <c r="BW33">
        <v>84</v>
      </c>
      <c r="BX33" t="s">
        <v>151</v>
      </c>
      <c r="BY33" t="s">
        <v>153</v>
      </c>
      <c r="BZ33" t="s">
        <v>152</v>
      </c>
      <c r="CA33" t="s">
        <v>69</v>
      </c>
      <c r="CB33">
        <v>165.19200000000001</v>
      </c>
      <c r="CC33" t="s">
        <v>69</v>
      </c>
      <c r="CD33" t="s">
        <v>69</v>
      </c>
      <c r="CE33">
        <v>355</v>
      </c>
      <c r="CF33" t="s">
        <v>116</v>
      </c>
      <c r="CG33" t="s">
        <v>153</v>
      </c>
      <c r="CH33" t="s">
        <v>117</v>
      </c>
      <c r="CI33" t="s">
        <v>153</v>
      </c>
      <c r="CJ33">
        <v>149.208</v>
      </c>
      <c r="CK33" t="s">
        <v>69</v>
      </c>
      <c r="CL33" t="s">
        <v>69</v>
      </c>
    </row>
    <row r="34" spans="1:90" x14ac:dyDescent="0.25">
      <c r="A34">
        <v>7</v>
      </c>
      <c r="B34" t="str">
        <f>HYPERLINK("http://www.ncbi.nlm.nih.gov/protein/XP_039529758.1","XP_039529758.1")</f>
        <v>XP_039529758.1</v>
      </c>
      <c r="C34">
        <v>96114</v>
      </c>
      <c r="D34" t="str">
        <f>HYPERLINK("http://www.ncbi.nlm.nih.gov/Taxonomy/Browser/wwwtax.cgi?mode=Info&amp;id=90988&amp;lvl=3&amp;lin=f&amp;keep=1&amp;srchmode=1&amp;unlock","90988")</f>
        <v>90988</v>
      </c>
      <c r="E34" t="s">
        <v>113</v>
      </c>
      <c r="F34" t="str">
        <f>HYPERLINK("http://www.ncbi.nlm.nih.gov/Taxonomy/Browser/wwwtax.cgi?mode=Info&amp;id=90988&amp;lvl=3&amp;lin=f&amp;keep=1&amp;srchmode=1&amp;unlock","Pimephales promelas")</f>
        <v>Pimephales promelas</v>
      </c>
      <c r="G34" t="s">
        <v>114</v>
      </c>
      <c r="H34" t="str">
        <f>HYPERLINK("http://www.ncbi.nlm.nih.gov/protein/XP_039529758.1","angiotensin-converting enzyme 2 isoform X2")</f>
        <v>angiotensin-converting enzyme 2 isoform X2</v>
      </c>
      <c r="I34" t="s">
        <v>154</v>
      </c>
      <c r="J34" t="s">
        <v>153</v>
      </c>
      <c r="K34">
        <v>33</v>
      </c>
      <c r="L34" t="s">
        <v>147</v>
      </c>
      <c r="M34" t="s">
        <v>153</v>
      </c>
      <c r="N34" t="s">
        <v>148</v>
      </c>
      <c r="O34" t="s">
        <v>153</v>
      </c>
      <c r="P34">
        <v>146.14599999999999</v>
      </c>
      <c r="Q34" t="s">
        <v>153</v>
      </c>
      <c r="R34" t="s">
        <v>153</v>
      </c>
      <c r="S34">
        <v>38</v>
      </c>
      <c r="T34" t="s">
        <v>70</v>
      </c>
      <c r="U34" t="s">
        <v>153</v>
      </c>
      <c r="V34" t="s">
        <v>71</v>
      </c>
      <c r="W34" t="s">
        <v>153</v>
      </c>
      <c r="X34">
        <v>75.066999999999993</v>
      </c>
      <c r="Y34" t="s">
        <v>153</v>
      </c>
      <c r="Z34" t="s">
        <v>153</v>
      </c>
      <c r="AA34">
        <v>44</v>
      </c>
      <c r="AB34" t="s">
        <v>76</v>
      </c>
      <c r="AC34" t="s">
        <v>153</v>
      </c>
      <c r="AD34" t="s">
        <v>75</v>
      </c>
      <c r="AE34" t="s">
        <v>153</v>
      </c>
      <c r="AF34">
        <v>146.18899999999999</v>
      </c>
      <c r="AG34" t="s">
        <v>69</v>
      </c>
      <c r="AH34" t="s">
        <v>69</v>
      </c>
      <c r="AI34">
        <v>45</v>
      </c>
      <c r="AJ34" t="s">
        <v>76</v>
      </c>
      <c r="AK34" t="s">
        <v>69</v>
      </c>
      <c r="AL34" t="s">
        <v>75</v>
      </c>
      <c r="AM34" t="s">
        <v>69</v>
      </c>
      <c r="AN34">
        <v>146.18899999999999</v>
      </c>
      <c r="AO34" t="s">
        <v>69</v>
      </c>
      <c r="AP34" t="s">
        <v>69</v>
      </c>
      <c r="AQ34">
        <v>49</v>
      </c>
      <c r="AR34" t="s">
        <v>156</v>
      </c>
      <c r="AS34" t="s">
        <v>153</v>
      </c>
      <c r="AT34" t="s">
        <v>120</v>
      </c>
      <c r="AU34" t="s">
        <v>69</v>
      </c>
      <c r="AV34">
        <v>133.10400000000001</v>
      </c>
      <c r="AW34" t="s">
        <v>69</v>
      </c>
      <c r="AX34" t="s">
        <v>69</v>
      </c>
      <c r="AY34">
        <v>52</v>
      </c>
      <c r="AZ34" t="s">
        <v>153</v>
      </c>
      <c r="BA34" t="s">
        <v>153</v>
      </c>
      <c r="BB34" t="s">
        <v>148</v>
      </c>
      <c r="BC34" t="s">
        <v>153</v>
      </c>
      <c r="BD34">
        <v>132.119</v>
      </c>
      <c r="BE34" t="s">
        <v>69</v>
      </c>
      <c r="BF34" t="s">
        <v>69</v>
      </c>
      <c r="BG34">
        <v>55</v>
      </c>
      <c r="BH34" t="s">
        <v>69</v>
      </c>
      <c r="BI34" t="s">
        <v>69</v>
      </c>
      <c r="BJ34" t="s">
        <v>152</v>
      </c>
      <c r="BK34" t="s">
        <v>69</v>
      </c>
      <c r="BL34">
        <v>181.191</v>
      </c>
      <c r="BM34" t="s">
        <v>69</v>
      </c>
      <c r="BN34" t="s">
        <v>69</v>
      </c>
      <c r="BO34">
        <v>56</v>
      </c>
      <c r="BP34" t="s">
        <v>147</v>
      </c>
      <c r="BQ34" t="s">
        <v>69</v>
      </c>
      <c r="BR34" t="s">
        <v>148</v>
      </c>
      <c r="BS34" t="s">
        <v>69</v>
      </c>
      <c r="BT34">
        <v>146.14599999999999</v>
      </c>
      <c r="BU34" t="s">
        <v>69</v>
      </c>
      <c r="BV34" t="s">
        <v>69</v>
      </c>
      <c r="BW34">
        <v>97</v>
      </c>
      <c r="BX34" t="s">
        <v>151</v>
      </c>
      <c r="BY34" t="s">
        <v>153</v>
      </c>
      <c r="BZ34" t="s">
        <v>152</v>
      </c>
      <c r="CA34" t="s">
        <v>69</v>
      </c>
      <c r="CB34">
        <v>165.19200000000001</v>
      </c>
      <c r="CC34" t="s">
        <v>69</v>
      </c>
      <c r="CD34" t="s">
        <v>69</v>
      </c>
      <c r="CE34">
        <v>366</v>
      </c>
      <c r="CF34" t="s">
        <v>153</v>
      </c>
      <c r="CG34" t="s">
        <v>153</v>
      </c>
      <c r="CH34" t="s">
        <v>148</v>
      </c>
      <c r="CI34" t="s">
        <v>153</v>
      </c>
      <c r="CJ34">
        <v>132.119</v>
      </c>
      <c r="CK34" t="s">
        <v>69</v>
      </c>
      <c r="CL34" t="s">
        <v>69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34"/>
  <sheetViews>
    <sheetView workbookViewId="0"/>
  </sheetViews>
  <sheetFormatPr defaultRowHeight="15" x14ac:dyDescent="0.25"/>
  <cols>
    <col min="8" max="8" width="41.7109375" customWidth="1"/>
  </cols>
  <sheetData>
    <row r="1" spans="1:106"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row>
    <row r="2" spans="1:106" x14ac:dyDescent="0.25">
      <c r="A2">
        <v>7</v>
      </c>
      <c r="B2" t="str">
        <f>HYPERLINK("http://www.ncbi.nlm.nih.gov/protein/NP_068576.1","NP_068576.1")</f>
        <v>NP_068576.1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HYPERLINK("http://www.ncbi.nlm.nih.gov/protein/NP_068576.1","angiotensin-converting enzyme 2 isoform 1 precursor")</f>
        <v>angiotensin-converting enzyme 2 isoform 1 precursor</v>
      </c>
      <c r="I2" t="s">
        <v>154</v>
      </c>
      <c r="J2" t="s">
        <v>69</v>
      </c>
      <c r="K2">
        <v>27</v>
      </c>
      <c r="L2" t="s">
        <v>149</v>
      </c>
      <c r="M2" t="s">
        <v>69</v>
      </c>
      <c r="N2" t="s">
        <v>150</v>
      </c>
      <c r="O2" t="s">
        <v>69</v>
      </c>
      <c r="P2">
        <v>119.119</v>
      </c>
      <c r="Q2" t="s">
        <v>69</v>
      </c>
      <c r="R2" t="s">
        <v>69</v>
      </c>
      <c r="S2">
        <v>28</v>
      </c>
      <c r="T2" t="s">
        <v>151</v>
      </c>
      <c r="U2" t="s">
        <v>69</v>
      </c>
      <c r="V2" t="s">
        <v>152</v>
      </c>
      <c r="W2" t="s">
        <v>69</v>
      </c>
      <c r="X2">
        <v>165.19200000000001</v>
      </c>
      <c r="Y2" t="s">
        <v>69</v>
      </c>
      <c r="Z2" t="s">
        <v>69</v>
      </c>
      <c r="AA2">
        <v>34</v>
      </c>
      <c r="AB2" t="s">
        <v>157</v>
      </c>
      <c r="AC2" t="s">
        <v>69</v>
      </c>
      <c r="AD2" t="s">
        <v>75</v>
      </c>
      <c r="AE2" t="s">
        <v>69</v>
      </c>
      <c r="AF2">
        <v>155.15600000000001</v>
      </c>
      <c r="AG2" t="s">
        <v>69</v>
      </c>
      <c r="AH2" t="s">
        <v>69</v>
      </c>
      <c r="AI2">
        <v>37</v>
      </c>
      <c r="AJ2" t="s">
        <v>119</v>
      </c>
      <c r="AK2" t="s">
        <v>69</v>
      </c>
      <c r="AL2" t="s">
        <v>120</v>
      </c>
      <c r="AM2" t="s">
        <v>69</v>
      </c>
      <c r="AN2">
        <v>147.131</v>
      </c>
      <c r="AO2" t="s">
        <v>69</v>
      </c>
      <c r="AP2" t="s">
        <v>69</v>
      </c>
      <c r="AQ2">
        <v>45</v>
      </c>
      <c r="AR2" t="s">
        <v>72</v>
      </c>
      <c r="AS2" t="s">
        <v>69</v>
      </c>
      <c r="AT2" t="s">
        <v>71</v>
      </c>
      <c r="AU2" t="s">
        <v>69</v>
      </c>
      <c r="AV2">
        <v>131.17500000000001</v>
      </c>
      <c r="AW2" t="s">
        <v>69</v>
      </c>
      <c r="AX2" t="s">
        <v>69</v>
      </c>
      <c r="AY2">
        <v>79</v>
      </c>
      <c r="AZ2" t="s">
        <v>72</v>
      </c>
      <c r="BA2" t="s">
        <v>69</v>
      </c>
      <c r="BB2" t="s">
        <v>71</v>
      </c>
      <c r="BC2" t="s">
        <v>69</v>
      </c>
      <c r="BD2">
        <v>131.17500000000001</v>
      </c>
      <c r="BE2" t="s">
        <v>69</v>
      </c>
      <c r="BF2" t="s">
        <v>69</v>
      </c>
      <c r="BG2">
        <v>82</v>
      </c>
      <c r="BH2" t="s">
        <v>116</v>
      </c>
      <c r="BI2" t="s">
        <v>69</v>
      </c>
      <c r="BJ2" t="s">
        <v>117</v>
      </c>
      <c r="BK2" t="s">
        <v>69</v>
      </c>
      <c r="BL2">
        <v>149.208</v>
      </c>
      <c r="BM2" t="s">
        <v>69</v>
      </c>
      <c r="BN2" t="s">
        <v>69</v>
      </c>
      <c r="BO2">
        <v>330</v>
      </c>
      <c r="BP2" t="s">
        <v>153</v>
      </c>
      <c r="BQ2" t="s">
        <v>69</v>
      </c>
      <c r="BR2" t="s">
        <v>148</v>
      </c>
      <c r="BS2" t="s">
        <v>69</v>
      </c>
      <c r="BT2">
        <v>132.119</v>
      </c>
      <c r="BU2" t="s">
        <v>69</v>
      </c>
      <c r="BV2" t="s">
        <v>69</v>
      </c>
      <c r="BW2">
        <v>354</v>
      </c>
      <c r="BX2" t="s">
        <v>70</v>
      </c>
      <c r="BY2" t="s">
        <v>69</v>
      </c>
      <c r="BZ2" t="s">
        <v>71</v>
      </c>
      <c r="CA2" t="s">
        <v>69</v>
      </c>
      <c r="CB2">
        <v>75.066999999999993</v>
      </c>
      <c r="CC2" t="s">
        <v>69</v>
      </c>
      <c r="CD2" t="s">
        <v>69</v>
      </c>
      <c r="CE2">
        <v>355</v>
      </c>
      <c r="CF2" t="s">
        <v>156</v>
      </c>
      <c r="CG2" t="s">
        <v>69</v>
      </c>
      <c r="CH2" t="s">
        <v>120</v>
      </c>
      <c r="CI2" t="s">
        <v>69</v>
      </c>
      <c r="CJ2">
        <v>133.10400000000001</v>
      </c>
      <c r="CK2" t="s">
        <v>69</v>
      </c>
      <c r="CL2" t="s">
        <v>69</v>
      </c>
      <c r="CM2">
        <v>357</v>
      </c>
      <c r="CN2" t="s">
        <v>74</v>
      </c>
      <c r="CO2" t="s">
        <v>69</v>
      </c>
      <c r="CP2" t="s">
        <v>75</v>
      </c>
      <c r="CQ2" t="s">
        <v>69</v>
      </c>
      <c r="CR2">
        <v>174.203</v>
      </c>
      <c r="CS2" t="s">
        <v>69</v>
      </c>
      <c r="CT2" t="s">
        <v>69</v>
      </c>
      <c r="CU2">
        <v>393</v>
      </c>
      <c r="CV2" t="s">
        <v>74</v>
      </c>
      <c r="CW2" t="s">
        <v>69</v>
      </c>
      <c r="CX2" t="s">
        <v>75</v>
      </c>
      <c r="CY2" t="s">
        <v>69</v>
      </c>
      <c r="CZ2">
        <v>174.203</v>
      </c>
      <c r="DA2" t="s">
        <v>69</v>
      </c>
      <c r="DB2" t="s">
        <v>69</v>
      </c>
    </row>
    <row r="3" spans="1:106" x14ac:dyDescent="0.25">
      <c r="A3">
        <v>7</v>
      </c>
      <c r="B3" t="str">
        <f>HYPERLINK("http://www.ncbi.nlm.nih.gov/protein/XP_018874749.1","XP_018874749.1")</f>
        <v>XP_018874749.1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HYPERLINK("http://www.ncbi.nlm.nih.gov/protein/XP_018874749.1","angiotensin-converting enzyme 2")</f>
        <v>angiotensin-converting enzyme 2</v>
      </c>
      <c r="I3" t="s">
        <v>154</v>
      </c>
      <c r="J3" t="s">
        <v>69</v>
      </c>
      <c r="K3">
        <v>27</v>
      </c>
      <c r="L3" t="s">
        <v>149</v>
      </c>
      <c r="M3" t="s">
        <v>69</v>
      </c>
      <c r="N3" t="s">
        <v>150</v>
      </c>
      <c r="O3" t="s">
        <v>69</v>
      </c>
      <c r="P3">
        <v>119.119</v>
      </c>
      <c r="Q3" t="s">
        <v>69</v>
      </c>
      <c r="R3" t="s">
        <v>69</v>
      </c>
      <c r="S3">
        <v>28</v>
      </c>
      <c r="T3" t="s">
        <v>151</v>
      </c>
      <c r="U3" t="s">
        <v>69</v>
      </c>
      <c r="V3" t="s">
        <v>152</v>
      </c>
      <c r="W3" t="s">
        <v>69</v>
      </c>
      <c r="X3">
        <v>165.19200000000001</v>
      </c>
      <c r="Y3" t="s">
        <v>69</v>
      </c>
      <c r="Z3" t="s">
        <v>69</v>
      </c>
      <c r="AA3">
        <v>34</v>
      </c>
      <c r="AB3" t="s">
        <v>157</v>
      </c>
      <c r="AC3" t="s">
        <v>69</v>
      </c>
      <c r="AD3" t="s">
        <v>75</v>
      </c>
      <c r="AE3" t="s">
        <v>69</v>
      </c>
      <c r="AF3">
        <v>155.15600000000001</v>
      </c>
      <c r="AG3" t="s">
        <v>69</v>
      </c>
      <c r="AH3" t="s">
        <v>69</v>
      </c>
      <c r="AI3">
        <v>37</v>
      </c>
      <c r="AJ3" t="s">
        <v>119</v>
      </c>
      <c r="AK3" t="s">
        <v>69</v>
      </c>
      <c r="AL3" t="s">
        <v>120</v>
      </c>
      <c r="AM3" t="s">
        <v>69</v>
      </c>
      <c r="AN3">
        <v>147.131</v>
      </c>
      <c r="AO3" t="s">
        <v>69</v>
      </c>
      <c r="AP3" t="s">
        <v>69</v>
      </c>
      <c r="AQ3">
        <v>45</v>
      </c>
      <c r="AR3" t="s">
        <v>72</v>
      </c>
      <c r="AS3" t="s">
        <v>69</v>
      </c>
      <c r="AT3" t="s">
        <v>71</v>
      </c>
      <c r="AU3" t="s">
        <v>69</v>
      </c>
      <c r="AV3">
        <v>131.17500000000001</v>
      </c>
      <c r="AW3" t="s">
        <v>69</v>
      </c>
      <c r="AX3" t="s">
        <v>69</v>
      </c>
      <c r="AY3">
        <v>79</v>
      </c>
      <c r="AZ3" t="s">
        <v>72</v>
      </c>
      <c r="BA3" t="s">
        <v>69</v>
      </c>
      <c r="BB3" t="s">
        <v>71</v>
      </c>
      <c r="BC3" t="s">
        <v>69</v>
      </c>
      <c r="BD3">
        <v>131.17500000000001</v>
      </c>
      <c r="BE3" t="s">
        <v>69</v>
      </c>
      <c r="BF3" t="s">
        <v>69</v>
      </c>
      <c r="BG3">
        <v>82</v>
      </c>
      <c r="BH3" t="s">
        <v>116</v>
      </c>
      <c r="BI3" t="s">
        <v>69</v>
      </c>
      <c r="BJ3" t="s">
        <v>117</v>
      </c>
      <c r="BK3" t="s">
        <v>69</v>
      </c>
      <c r="BL3">
        <v>149.208</v>
      </c>
      <c r="BM3" t="s">
        <v>69</v>
      </c>
      <c r="BN3" t="s">
        <v>69</v>
      </c>
      <c r="BO3">
        <v>330</v>
      </c>
      <c r="BP3" t="s">
        <v>153</v>
      </c>
      <c r="BQ3" t="s">
        <v>69</v>
      </c>
      <c r="BR3" t="s">
        <v>148</v>
      </c>
      <c r="BS3" t="s">
        <v>69</v>
      </c>
      <c r="BT3">
        <v>132.119</v>
      </c>
      <c r="BU3" t="s">
        <v>69</v>
      </c>
      <c r="BV3" t="s">
        <v>69</v>
      </c>
      <c r="BW3">
        <v>354</v>
      </c>
      <c r="BX3" t="s">
        <v>70</v>
      </c>
      <c r="BY3" t="s">
        <v>69</v>
      </c>
      <c r="BZ3" t="s">
        <v>71</v>
      </c>
      <c r="CA3" t="s">
        <v>69</v>
      </c>
      <c r="CB3">
        <v>75.066999999999993</v>
      </c>
      <c r="CC3" t="s">
        <v>69</v>
      </c>
      <c r="CD3" t="s">
        <v>69</v>
      </c>
      <c r="CE3">
        <v>355</v>
      </c>
      <c r="CF3" t="s">
        <v>156</v>
      </c>
      <c r="CG3" t="s">
        <v>69</v>
      </c>
      <c r="CH3" t="s">
        <v>120</v>
      </c>
      <c r="CI3" t="s">
        <v>69</v>
      </c>
      <c r="CJ3">
        <v>133.10400000000001</v>
      </c>
      <c r="CK3" t="s">
        <v>69</v>
      </c>
      <c r="CL3" t="s">
        <v>69</v>
      </c>
      <c r="CM3">
        <v>357</v>
      </c>
      <c r="CN3" t="s">
        <v>74</v>
      </c>
      <c r="CO3" t="s">
        <v>69</v>
      </c>
      <c r="CP3" t="s">
        <v>75</v>
      </c>
      <c r="CQ3" t="s">
        <v>69</v>
      </c>
      <c r="CR3">
        <v>174.203</v>
      </c>
      <c r="CS3" t="s">
        <v>69</v>
      </c>
      <c r="CT3" t="s">
        <v>69</v>
      </c>
      <c r="CU3">
        <v>393</v>
      </c>
      <c r="CV3" t="s">
        <v>74</v>
      </c>
      <c r="CW3" t="s">
        <v>69</v>
      </c>
      <c r="CX3" t="s">
        <v>75</v>
      </c>
      <c r="CY3" t="s">
        <v>69</v>
      </c>
      <c r="CZ3">
        <v>174.203</v>
      </c>
      <c r="DA3" t="s">
        <v>69</v>
      </c>
      <c r="DB3" t="s">
        <v>69</v>
      </c>
    </row>
    <row r="4" spans="1:106" x14ac:dyDescent="0.25">
      <c r="A4">
        <v>7</v>
      </c>
      <c r="B4" t="str">
        <f>HYPERLINK("http://www.ncbi.nlm.nih.gov/protein/XP_021788732.1","XP_021788732.1")</f>
        <v>XP_021788732.1</v>
      </c>
      <c r="C4">
        <v>73529</v>
      </c>
      <c r="D4" t="str">
        <f>HYPERLINK("http://www.ncbi.nlm.nih.gov/Taxonomy/Browser/wwwtax.cgi?mode=Info&amp;id=9555&amp;lvl=3&amp;lin=f&amp;keep=1&amp;srchmode=1&amp;unlock","9555")</f>
        <v>9555</v>
      </c>
      <c r="E4" t="s">
        <v>66</v>
      </c>
      <c r="F4" t="str">
        <f>HYPERLINK("http://www.ncbi.nlm.nih.gov/Taxonomy/Browser/wwwtax.cgi?mode=Info&amp;id=9555&amp;lvl=3&amp;lin=f&amp;keep=1&amp;srchmode=1&amp;unlock","Papio anubis")</f>
        <v>Papio anubis</v>
      </c>
      <c r="G4" t="s">
        <v>80</v>
      </c>
      <c r="H4" t="str">
        <f>HYPERLINK("http://www.ncbi.nlm.nih.gov/protein/XP_021788732.1","angiotensin-converting enzyme 2")</f>
        <v>angiotensin-converting enzyme 2</v>
      </c>
      <c r="I4" t="s">
        <v>154</v>
      </c>
      <c r="J4" t="s">
        <v>69</v>
      </c>
      <c r="K4">
        <v>27</v>
      </c>
      <c r="L4" t="s">
        <v>149</v>
      </c>
      <c r="M4" t="s">
        <v>69</v>
      </c>
      <c r="N4" t="s">
        <v>150</v>
      </c>
      <c r="O4" t="s">
        <v>69</v>
      </c>
      <c r="P4">
        <v>119.119</v>
      </c>
      <c r="Q4" t="s">
        <v>69</v>
      </c>
      <c r="R4" t="s">
        <v>69</v>
      </c>
      <c r="S4">
        <v>28</v>
      </c>
      <c r="T4" t="s">
        <v>151</v>
      </c>
      <c r="U4" t="s">
        <v>69</v>
      </c>
      <c r="V4" t="s">
        <v>152</v>
      </c>
      <c r="W4" t="s">
        <v>69</v>
      </c>
      <c r="X4">
        <v>165.19200000000001</v>
      </c>
      <c r="Y4" t="s">
        <v>69</v>
      </c>
      <c r="Z4" t="s">
        <v>69</v>
      </c>
      <c r="AA4">
        <v>34</v>
      </c>
      <c r="AB4" t="s">
        <v>157</v>
      </c>
      <c r="AC4" t="s">
        <v>69</v>
      </c>
      <c r="AD4" t="s">
        <v>75</v>
      </c>
      <c r="AE4" t="s">
        <v>69</v>
      </c>
      <c r="AF4">
        <v>155.15600000000001</v>
      </c>
      <c r="AG4" t="s">
        <v>69</v>
      </c>
      <c r="AH4" t="s">
        <v>69</v>
      </c>
      <c r="AI4">
        <v>37</v>
      </c>
      <c r="AJ4" t="s">
        <v>119</v>
      </c>
      <c r="AK4" t="s">
        <v>69</v>
      </c>
      <c r="AL4" t="s">
        <v>120</v>
      </c>
      <c r="AM4" t="s">
        <v>69</v>
      </c>
      <c r="AN4">
        <v>147.131</v>
      </c>
      <c r="AO4" t="s">
        <v>69</v>
      </c>
      <c r="AP4" t="s">
        <v>69</v>
      </c>
      <c r="AQ4">
        <v>45</v>
      </c>
      <c r="AR4" t="s">
        <v>72</v>
      </c>
      <c r="AS4" t="s">
        <v>69</v>
      </c>
      <c r="AT4" t="s">
        <v>71</v>
      </c>
      <c r="AU4" t="s">
        <v>69</v>
      </c>
      <c r="AV4">
        <v>131.17500000000001</v>
      </c>
      <c r="AW4" t="s">
        <v>69</v>
      </c>
      <c r="AX4" t="s">
        <v>69</v>
      </c>
      <c r="AY4">
        <v>79</v>
      </c>
      <c r="AZ4" t="s">
        <v>72</v>
      </c>
      <c r="BA4" t="s">
        <v>69</v>
      </c>
      <c r="BB4" t="s">
        <v>71</v>
      </c>
      <c r="BC4" t="s">
        <v>69</v>
      </c>
      <c r="BD4">
        <v>131.17500000000001</v>
      </c>
      <c r="BE4" t="s">
        <v>69</v>
      </c>
      <c r="BF4" t="s">
        <v>69</v>
      </c>
      <c r="BG4">
        <v>82</v>
      </c>
      <c r="BH4" t="s">
        <v>116</v>
      </c>
      <c r="BI4" t="s">
        <v>69</v>
      </c>
      <c r="BJ4" t="s">
        <v>117</v>
      </c>
      <c r="BK4" t="s">
        <v>69</v>
      </c>
      <c r="BL4">
        <v>149.208</v>
      </c>
      <c r="BM4" t="s">
        <v>69</v>
      </c>
      <c r="BN4" t="s">
        <v>69</v>
      </c>
      <c r="BO4">
        <v>330</v>
      </c>
      <c r="BP4" t="s">
        <v>153</v>
      </c>
      <c r="BQ4" t="s">
        <v>69</v>
      </c>
      <c r="BR4" t="s">
        <v>148</v>
      </c>
      <c r="BS4" t="s">
        <v>69</v>
      </c>
      <c r="BT4">
        <v>132.119</v>
      </c>
      <c r="BU4" t="s">
        <v>69</v>
      </c>
      <c r="BV4" t="s">
        <v>69</v>
      </c>
      <c r="BW4">
        <v>354</v>
      </c>
      <c r="BX4" t="s">
        <v>70</v>
      </c>
      <c r="BY4" t="s">
        <v>69</v>
      </c>
      <c r="BZ4" t="s">
        <v>71</v>
      </c>
      <c r="CA4" t="s">
        <v>69</v>
      </c>
      <c r="CB4">
        <v>75.066999999999993</v>
      </c>
      <c r="CC4" t="s">
        <v>69</v>
      </c>
      <c r="CD4" t="s">
        <v>69</v>
      </c>
      <c r="CE4">
        <v>355</v>
      </c>
      <c r="CF4" t="s">
        <v>156</v>
      </c>
      <c r="CG4" t="s">
        <v>69</v>
      </c>
      <c r="CH4" t="s">
        <v>120</v>
      </c>
      <c r="CI4" t="s">
        <v>69</v>
      </c>
      <c r="CJ4">
        <v>133.10400000000001</v>
      </c>
      <c r="CK4" t="s">
        <v>69</v>
      </c>
      <c r="CL4" t="s">
        <v>69</v>
      </c>
      <c r="CM4">
        <v>357</v>
      </c>
      <c r="CN4" t="s">
        <v>74</v>
      </c>
      <c r="CO4" t="s">
        <v>69</v>
      </c>
      <c r="CP4" t="s">
        <v>75</v>
      </c>
      <c r="CQ4" t="s">
        <v>69</v>
      </c>
      <c r="CR4">
        <v>174.203</v>
      </c>
      <c r="CS4" t="s">
        <v>69</v>
      </c>
      <c r="CT4" t="s">
        <v>69</v>
      </c>
      <c r="CU4">
        <v>393</v>
      </c>
      <c r="CV4" t="s">
        <v>74</v>
      </c>
      <c r="CW4" t="s">
        <v>69</v>
      </c>
      <c r="CX4" t="s">
        <v>75</v>
      </c>
      <c r="CY4" t="s">
        <v>69</v>
      </c>
      <c r="CZ4">
        <v>174.203</v>
      </c>
      <c r="DA4" t="s">
        <v>69</v>
      </c>
      <c r="DB4" t="s">
        <v>69</v>
      </c>
    </row>
    <row r="5" spans="1:106" x14ac:dyDescent="0.25">
      <c r="A5">
        <v>7</v>
      </c>
      <c r="B5" t="str">
        <f>HYPERLINK("http://www.ncbi.nlm.nih.gov/protein/ACI04558.1","ACI04558.1")</f>
        <v>ACI04558.1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HYPERLINK("http://www.ncbi.nlm.nih.gov/protein/ACI04558.1","angiotensin converting enzyme 2")</f>
        <v>angiotensin converting enzyme 2</v>
      </c>
      <c r="I5" t="s">
        <v>154</v>
      </c>
      <c r="J5" t="s">
        <v>69</v>
      </c>
      <c r="K5">
        <v>27</v>
      </c>
      <c r="L5" t="s">
        <v>149</v>
      </c>
      <c r="M5" t="s">
        <v>69</v>
      </c>
      <c r="N5" t="s">
        <v>150</v>
      </c>
      <c r="O5" t="s">
        <v>69</v>
      </c>
      <c r="P5">
        <v>119.119</v>
      </c>
      <c r="Q5" t="s">
        <v>69</v>
      </c>
      <c r="R5" t="s">
        <v>69</v>
      </c>
      <c r="S5">
        <v>28</v>
      </c>
      <c r="T5" t="s">
        <v>151</v>
      </c>
      <c r="U5" t="s">
        <v>69</v>
      </c>
      <c r="V5" t="s">
        <v>152</v>
      </c>
      <c r="W5" t="s">
        <v>69</v>
      </c>
      <c r="X5">
        <v>165.19200000000001</v>
      </c>
      <c r="Y5" t="s">
        <v>69</v>
      </c>
      <c r="Z5" t="s">
        <v>69</v>
      </c>
      <c r="AA5">
        <v>34</v>
      </c>
      <c r="AB5" t="s">
        <v>157</v>
      </c>
      <c r="AC5" t="s">
        <v>69</v>
      </c>
      <c r="AD5" t="s">
        <v>75</v>
      </c>
      <c r="AE5" t="s">
        <v>69</v>
      </c>
      <c r="AF5">
        <v>155.15600000000001</v>
      </c>
      <c r="AG5" t="s">
        <v>69</v>
      </c>
      <c r="AH5" t="s">
        <v>69</v>
      </c>
      <c r="AI5">
        <v>37</v>
      </c>
      <c r="AJ5" t="s">
        <v>119</v>
      </c>
      <c r="AK5" t="s">
        <v>69</v>
      </c>
      <c r="AL5" t="s">
        <v>120</v>
      </c>
      <c r="AM5" t="s">
        <v>69</v>
      </c>
      <c r="AN5">
        <v>147.131</v>
      </c>
      <c r="AO5" t="s">
        <v>69</v>
      </c>
      <c r="AP5" t="s">
        <v>69</v>
      </c>
      <c r="AQ5">
        <v>45</v>
      </c>
      <c r="AR5" t="s">
        <v>72</v>
      </c>
      <c r="AS5" t="s">
        <v>69</v>
      </c>
      <c r="AT5" t="s">
        <v>71</v>
      </c>
      <c r="AU5" t="s">
        <v>69</v>
      </c>
      <c r="AV5">
        <v>131.17500000000001</v>
      </c>
      <c r="AW5" t="s">
        <v>69</v>
      </c>
      <c r="AX5" t="s">
        <v>69</v>
      </c>
      <c r="AY5">
        <v>79</v>
      </c>
      <c r="AZ5" t="s">
        <v>72</v>
      </c>
      <c r="BA5" t="s">
        <v>69</v>
      </c>
      <c r="BB5" t="s">
        <v>71</v>
      </c>
      <c r="BC5" t="s">
        <v>69</v>
      </c>
      <c r="BD5">
        <v>131.17500000000001</v>
      </c>
      <c r="BE5" t="s">
        <v>69</v>
      </c>
      <c r="BF5" t="s">
        <v>69</v>
      </c>
      <c r="BG5">
        <v>82</v>
      </c>
      <c r="BH5" t="s">
        <v>116</v>
      </c>
      <c r="BI5" t="s">
        <v>69</v>
      </c>
      <c r="BJ5" t="s">
        <v>117</v>
      </c>
      <c r="BK5" t="s">
        <v>69</v>
      </c>
      <c r="BL5">
        <v>149.208</v>
      </c>
      <c r="BM5" t="s">
        <v>69</v>
      </c>
      <c r="BN5" t="s">
        <v>69</v>
      </c>
      <c r="BO5">
        <v>330</v>
      </c>
      <c r="BP5" t="s">
        <v>153</v>
      </c>
      <c r="BQ5" t="s">
        <v>69</v>
      </c>
      <c r="BR5" t="s">
        <v>148</v>
      </c>
      <c r="BS5" t="s">
        <v>69</v>
      </c>
      <c r="BT5">
        <v>132.119</v>
      </c>
      <c r="BU5" t="s">
        <v>69</v>
      </c>
      <c r="BV5" t="s">
        <v>69</v>
      </c>
      <c r="BW5">
        <v>354</v>
      </c>
      <c r="BX5" t="s">
        <v>70</v>
      </c>
      <c r="BY5" t="s">
        <v>69</v>
      </c>
      <c r="BZ5" t="s">
        <v>71</v>
      </c>
      <c r="CA5" t="s">
        <v>69</v>
      </c>
      <c r="CB5">
        <v>75.066999999999993</v>
      </c>
      <c r="CC5" t="s">
        <v>69</v>
      </c>
      <c r="CD5" t="s">
        <v>69</v>
      </c>
      <c r="CE5">
        <v>355</v>
      </c>
      <c r="CF5" t="s">
        <v>156</v>
      </c>
      <c r="CG5" t="s">
        <v>69</v>
      </c>
      <c r="CH5" t="s">
        <v>120</v>
      </c>
      <c r="CI5" t="s">
        <v>69</v>
      </c>
      <c r="CJ5">
        <v>133.10400000000001</v>
      </c>
      <c r="CK5" t="s">
        <v>69</v>
      </c>
      <c r="CL5" t="s">
        <v>69</v>
      </c>
      <c r="CM5">
        <v>357</v>
      </c>
      <c r="CN5" t="s">
        <v>74</v>
      </c>
      <c r="CO5" t="s">
        <v>69</v>
      </c>
      <c r="CP5" t="s">
        <v>75</v>
      </c>
      <c r="CQ5" t="s">
        <v>69</v>
      </c>
      <c r="CR5">
        <v>174.203</v>
      </c>
      <c r="CS5" t="s">
        <v>69</v>
      </c>
      <c r="CT5" t="s">
        <v>69</v>
      </c>
      <c r="CU5">
        <v>393</v>
      </c>
      <c r="CV5" t="s">
        <v>74</v>
      </c>
      <c r="CW5" t="s">
        <v>69</v>
      </c>
      <c r="CX5" t="s">
        <v>75</v>
      </c>
      <c r="CY5" t="s">
        <v>69</v>
      </c>
      <c r="CZ5">
        <v>174.203</v>
      </c>
      <c r="DA5" t="s">
        <v>69</v>
      </c>
      <c r="DB5" t="s">
        <v>69</v>
      </c>
    </row>
    <row r="6" spans="1:106" x14ac:dyDescent="0.25">
      <c r="A6">
        <v>7</v>
      </c>
      <c r="B6" t="str">
        <f>HYPERLINK("http://www.ncbi.nlm.nih.gov/protein/XP_007989304.2","XP_007989304.2")</f>
        <v>XP_007989304.2</v>
      </c>
      <c r="C6">
        <v>62302</v>
      </c>
      <c r="D6" t="str">
        <f>HYPERLINK("http://www.ncbi.nlm.nih.gov/Taxonomy/Browser/wwwtax.cgi?mode=Info&amp;id=60711&amp;lvl=3&amp;lin=f&amp;keep=1&amp;srchmode=1&amp;unlock","60711")</f>
        <v>60711</v>
      </c>
      <c r="E6" t="s">
        <v>66</v>
      </c>
      <c r="F6" t="str">
        <f>HYPERLINK("http://www.ncbi.nlm.nih.gov/Taxonomy/Browser/wwwtax.cgi?mode=Info&amp;id=60711&amp;lvl=3&amp;lin=f&amp;keep=1&amp;srchmode=1&amp;unlock","Chlorocebus sabaeus")</f>
        <v>Chlorocebus sabaeus</v>
      </c>
      <c r="G6" t="s">
        <v>78</v>
      </c>
      <c r="H6" t="str">
        <f>HYPERLINK("http://www.ncbi.nlm.nih.gov/protein/XP_007989304.2","angiotensin-converting enzyme 2")</f>
        <v>angiotensin-converting enzyme 2</v>
      </c>
      <c r="I6" t="s">
        <v>154</v>
      </c>
      <c r="J6" t="s">
        <v>69</v>
      </c>
      <c r="K6">
        <v>27</v>
      </c>
      <c r="L6" t="s">
        <v>149</v>
      </c>
      <c r="M6" t="s">
        <v>69</v>
      </c>
      <c r="N6" t="s">
        <v>150</v>
      </c>
      <c r="O6" t="s">
        <v>69</v>
      </c>
      <c r="P6">
        <v>119.119</v>
      </c>
      <c r="Q6" t="s">
        <v>69</v>
      </c>
      <c r="R6" t="s">
        <v>69</v>
      </c>
      <c r="S6">
        <v>28</v>
      </c>
      <c r="T6" t="s">
        <v>151</v>
      </c>
      <c r="U6" t="s">
        <v>69</v>
      </c>
      <c r="V6" t="s">
        <v>152</v>
      </c>
      <c r="W6" t="s">
        <v>69</v>
      </c>
      <c r="X6">
        <v>165.19200000000001</v>
      </c>
      <c r="Y6" t="s">
        <v>69</v>
      </c>
      <c r="Z6" t="s">
        <v>69</v>
      </c>
      <c r="AA6">
        <v>34</v>
      </c>
      <c r="AB6" t="s">
        <v>157</v>
      </c>
      <c r="AC6" t="s">
        <v>69</v>
      </c>
      <c r="AD6" t="s">
        <v>75</v>
      </c>
      <c r="AE6" t="s">
        <v>69</v>
      </c>
      <c r="AF6">
        <v>155.15600000000001</v>
      </c>
      <c r="AG6" t="s">
        <v>69</v>
      </c>
      <c r="AH6" t="s">
        <v>69</v>
      </c>
      <c r="AI6">
        <v>37</v>
      </c>
      <c r="AJ6" t="s">
        <v>119</v>
      </c>
      <c r="AK6" t="s">
        <v>69</v>
      </c>
      <c r="AL6" t="s">
        <v>120</v>
      </c>
      <c r="AM6" t="s">
        <v>69</v>
      </c>
      <c r="AN6">
        <v>147.131</v>
      </c>
      <c r="AO6" t="s">
        <v>69</v>
      </c>
      <c r="AP6" t="s">
        <v>69</v>
      </c>
      <c r="AQ6">
        <v>45</v>
      </c>
      <c r="AR6" t="s">
        <v>72</v>
      </c>
      <c r="AS6" t="s">
        <v>69</v>
      </c>
      <c r="AT6" t="s">
        <v>71</v>
      </c>
      <c r="AU6" t="s">
        <v>69</v>
      </c>
      <c r="AV6">
        <v>131.17500000000001</v>
      </c>
      <c r="AW6" t="s">
        <v>69</v>
      </c>
      <c r="AX6" t="s">
        <v>69</v>
      </c>
      <c r="AY6">
        <v>79</v>
      </c>
      <c r="AZ6" t="s">
        <v>72</v>
      </c>
      <c r="BA6" t="s">
        <v>69</v>
      </c>
      <c r="BB6" t="s">
        <v>71</v>
      </c>
      <c r="BC6" t="s">
        <v>69</v>
      </c>
      <c r="BD6">
        <v>131.17500000000001</v>
      </c>
      <c r="BE6" t="s">
        <v>69</v>
      </c>
      <c r="BF6" t="s">
        <v>69</v>
      </c>
      <c r="BG6">
        <v>82</v>
      </c>
      <c r="BH6" t="s">
        <v>116</v>
      </c>
      <c r="BI6" t="s">
        <v>69</v>
      </c>
      <c r="BJ6" t="s">
        <v>117</v>
      </c>
      <c r="BK6" t="s">
        <v>69</v>
      </c>
      <c r="BL6">
        <v>149.208</v>
      </c>
      <c r="BM6" t="s">
        <v>69</v>
      </c>
      <c r="BN6" t="s">
        <v>69</v>
      </c>
      <c r="BO6">
        <v>330</v>
      </c>
      <c r="BP6" t="s">
        <v>153</v>
      </c>
      <c r="BQ6" t="s">
        <v>69</v>
      </c>
      <c r="BR6" t="s">
        <v>148</v>
      </c>
      <c r="BS6" t="s">
        <v>69</v>
      </c>
      <c r="BT6">
        <v>132.119</v>
      </c>
      <c r="BU6" t="s">
        <v>69</v>
      </c>
      <c r="BV6" t="s">
        <v>69</v>
      </c>
      <c r="BW6">
        <v>354</v>
      </c>
      <c r="BX6" t="s">
        <v>70</v>
      </c>
      <c r="BY6" t="s">
        <v>69</v>
      </c>
      <c r="BZ6" t="s">
        <v>71</v>
      </c>
      <c r="CA6" t="s">
        <v>69</v>
      </c>
      <c r="CB6">
        <v>75.066999999999993</v>
      </c>
      <c r="CC6" t="s">
        <v>69</v>
      </c>
      <c r="CD6" t="s">
        <v>69</v>
      </c>
      <c r="CE6">
        <v>355</v>
      </c>
      <c r="CF6" t="s">
        <v>156</v>
      </c>
      <c r="CG6" t="s">
        <v>69</v>
      </c>
      <c r="CH6" t="s">
        <v>120</v>
      </c>
      <c r="CI6" t="s">
        <v>69</v>
      </c>
      <c r="CJ6">
        <v>133.10400000000001</v>
      </c>
      <c r="CK6" t="s">
        <v>69</v>
      </c>
      <c r="CL6" t="s">
        <v>69</v>
      </c>
      <c r="CM6">
        <v>357</v>
      </c>
      <c r="CN6" t="s">
        <v>74</v>
      </c>
      <c r="CO6" t="s">
        <v>69</v>
      </c>
      <c r="CP6" t="s">
        <v>75</v>
      </c>
      <c r="CQ6" t="s">
        <v>69</v>
      </c>
      <c r="CR6">
        <v>174.203</v>
      </c>
      <c r="CS6" t="s">
        <v>69</v>
      </c>
      <c r="CT6" t="s">
        <v>69</v>
      </c>
      <c r="CU6">
        <v>393</v>
      </c>
      <c r="CV6" t="s">
        <v>74</v>
      </c>
      <c r="CW6" t="s">
        <v>69</v>
      </c>
      <c r="CX6" t="s">
        <v>75</v>
      </c>
      <c r="CY6" t="s">
        <v>69</v>
      </c>
      <c r="CZ6">
        <v>174.203</v>
      </c>
      <c r="DA6" t="s">
        <v>69</v>
      </c>
      <c r="DB6" t="s">
        <v>69</v>
      </c>
    </row>
    <row r="7" spans="1:106" x14ac:dyDescent="0.25">
      <c r="A7">
        <v>7</v>
      </c>
      <c r="B7" t="str">
        <f>HYPERLINK("http://www.ncbi.nlm.nih.gov/protein/XP_008987241.1","XP_008987241.1")</f>
        <v>XP_008987241.1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HYPERLINK("http://www.ncbi.nlm.nih.gov/protein/XP_008987241.1","angiotensin-converting enzyme 2")</f>
        <v>angiotensin-converting enzyme 2</v>
      </c>
      <c r="I7" t="s">
        <v>154</v>
      </c>
      <c r="J7" t="s">
        <v>153</v>
      </c>
      <c r="K7">
        <v>27</v>
      </c>
      <c r="L7" t="s">
        <v>149</v>
      </c>
      <c r="M7" t="s">
        <v>69</v>
      </c>
      <c r="N7" t="s">
        <v>150</v>
      </c>
      <c r="O7" t="s">
        <v>69</v>
      </c>
      <c r="P7">
        <v>119.119</v>
      </c>
      <c r="Q7" t="s">
        <v>69</v>
      </c>
      <c r="R7" t="s">
        <v>69</v>
      </c>
      <c r="S7">
        <v>28</v>
      </c>
      <c r="T7" t="s">
        <v>151</v>
      </c>
      <c r="U7" t="s">
        <v>69</v>
      </c>
      <c r="V7" t="s">
        <v>152</v>
      </c>
      <c r="W7" t="s">
        <v>69</v>
      </c>
      <c r="X7">
        <v>165.19200000000001</v>
      </c>
      <c r="Y7" t="s">
        <v>69</v>
      </c>
      <c r="Z7" t="s">
        <v>69</v>
      </c>
      <c r="AA7">
        <v>34</v>
      </c>
      <c r="AB7" t="s">
        <v>157</v>
      </c>
      <c r="AC7" t="s">
        <v>69</v>
      </c>
      <c r="AD7" t="s">
        <v>75</v>
      </c>
      <c r="AE7" t="s">
        <v>69</v>
      </c>
      <c r="AF7">
        <v>155.15600000000001</v>
      </c>
      <c r="AG7" t="s">
        <v>69</v>
      </c>
      <c r="AH7" t="s">
        <v>69</v>
      </c>
      <c r="AI7">
        <v>37</v>
      </c>
      <c r="AJ7" t="s">
        <v>119</v>
      </c>
      <c r="AK7" t="s">
        <v>69</v>
      </c>
      <c r="AL7" t="s">
        <v>120</v>
      </c>
      <c r="AM7" t="s">
        <v>69</v>
      </c>
      <c r="AN7">
        <v>147.131</v>
      </c>
      <c r="AO7" t="s">
        <v>69</v>
      </c>
      <c r="AP7" t="s">
        <v>69</v>
      </c>
      <c r="AQ7">
        <v>45</v>
      </c>
      <c r="AR7" t="s">
        <v>72</v>
      </c>
      <c r="AS7" t="s">
        <v>69</v>
      </c>
      <c r="AT7" t="s">
        <v>71</v>
      </c>
      <c r="AU7" t="s">
        <v>69</v>
      </c>
      <c r="AV7">
        <v>131.17500000000001</v>
      </c>
      <c r="AW7" t="s">
        <v>69</v>
      </c>
      <c r="AX7" t="s">
        <v>69</v>
      </c>
      <c r="AY7">
        <v>79</v>
      </c>
      <c r="AZ7" t="s">
        <v>72</v>
      </c>
      <c r="BA7" t="s">
        <v>69</v>
      </c>
      <c r="BB7" t="s">
        <v>71</v>
      </c>
      <c r="BC7" t="s">
        <v>69</v>
      </c>
      <c r="BD7">
        <v>131.17500000000001</v>
      </c>
      <c r="BE7" t="s">
        <v>69</v>
      </c>
      <c r="BF7" t="s">
        <v>69</v>
      </c>
      <c r="BG7">
        <v>82</v>
      </c>
      <c r="BH7" t="s">
        <v>149</v>
      </c>
      <c r="BI7" t="s">
        <v>153</v>
      </c>
      <c r="BJ7" t="s">
        <v>150</v>
      </c>
      <c r="BK7" t="s">
        <v>153</v>
      </c>
      <c r="BL7">
        <v>119.119</v>
      </c>
      <c r="BM7" t="s">
        <v>153</v>
      </c>
      <c r="BN7" t="s">
        <v>153</v>
      </c>
      <c r="BO7">
        <v>330</v>
      </c>
      <c r="BP7" t="s">
        <v>153</v>
      </c>
      <c r="BQ7" t="s">
        <v>69</v>
      </c>
      <c r="BR7" t="s">
        <v>148</v>
      </c>
      <c r="BS7" t="s">
        <v>69</v>
      </c>
      <c r="BT7">
        <v>132.119</v>
      </c>
      <c r="BU7" t="s">
        <v>69</v>
      </c>
      <c r="BV7" t="s">
        <v>69</v>
      </c>
      <c r="BW7">
        <v>354</v>
      </c>
      <c r="BX7" t="s">
        <v>147</v>
      </c>
      <c r="BY7" t="s">
        <v>153</v>
      </c>
      <c r="BZ7" t="s">
        <v>148</v>
      </c>
      <c r="CA7" t="s">
        <v>153</v>
      </c>
      <c r="CB7">
        <v>146.14599999999999</v>
      </c>
      <c r="CC7" t="s">
        <v>153</v>
      </c>
      <c r="CD7" t="s">
        <v>153</v>
      </c>
      <c r="CE7">
        <v>355</v>
      </c>
      <c r="CF7" t="s">
        <v>156</v>
      </c>
      <c r="CG7" t="s">
        <v>69</v>
      </c>
      <c r="CH7" t="s">
        <v>120</v>
      </c>
      <c r="CI7" t="s">
        <v>69</v>
      </c>
      <c r="CJ7">
        <v>133.10400000000001</v>
      </c>
      <c r="CK7" t="s">
        <v>69</v>
      </c>
      <c r="CL7" t="s">
        <v>69</v>
      </c>
      <c r="CM7">
        <v>357</v>
      </c>
      <c r="CN7" t="s">
        <v>74</v>
      </c>
      <c r="CO7" t="s">
        <v>69</v>
      </c>
      <c r="CP7" t="s">
        <v>75</v>
      </c>
      <c r="CQ7" t="s">
        <v>69</v>
      </c>
      <c r="CR7">
        <v>174.203</v>
      </c>
      <c r="CS7" t="s">
        <v>69</v>
      </c>
      <c r="CT7" t="s">
        <v>69</v>
      </c>
      <c r="CU7">
        <v>393</v>
      </c>
      <c r="CV7" t="s">
        <v>74</v>
      </c>
      <c r="CW7" t="s">
        <v>69</v>
      </c>
      <c r="CX7" t="s">
        <v>75</v>
      </c>
      <c r="CY7" t="s">
        <v>69</v>
      </c>
      <c r="CZ7">
        <v>174.203</v>
      </c>
      <c r="DA7" t="s">
        <v>69</v>
      </c>
      <c r="DB7" t="s">
        <v>69</v>
      </c>
    </row>
    <row r="8" spans="1:106" x14ac:dyDescent="0.25">
      <c r="A8">
        <v>7</v>
      </c>
      <c r="B8" t="str">
        <f>HYPERLINK("http://www.ncbi.nlm.nih.gov/protein/XP_047391637.1","XP_047391637.1")</f>
        <v>XP_047391637.1</v>
      </c>
      <c r="C8">
        <v>74939</v>
      </c>
      <c r="D8" t="str">
        <f>HYPERLINK("http://www.ncbi.nlm.nih.gov/Taxonomy/Browser/wwwtax.cgi?mode=Info&amp;id=30640&amp;lvl=3&amp;lin=f&amp;keep=1&amp;srchmode=1&amp;unlock","30640")</f>
        <v>30640</v>
      </c>
      <c r="E8" t="s">
        <v>66</v>
      </c>
      <c r="F8" t="str">
        <f>HYPERLINK("http://www.ncbi.nlm.nih.gov/Taxonomy/Browser/wwwtax.cgi?mode=Info&amp;id=30640&amp;lvl=3&amp;lin=f&amp;keep=1&amp;srchmode=1&amp;unlock","Neosciurus carolinensis")</f>
        <v>Neosciurus carolinensis</v>
      </c>
      <c r="G8" t="s">
        <v>101</v>
      </c>
      <c r="H8" t="str">
        <f>HYPERLINK("http://www.ncbi.nlm.nih.gov/protein/XP_047391637.1","angiotensin-converting enzyme 2")</f>
        <v>angiotensin-converting enzyme 2</v>
      </c>
      <c r="I8" t="s">
        <v>154</v>
      </c>
      <c r="J8" t="s">
        <v>153</v>
      </c>
      <c r="K8">
        <v>27</v>
      </c>
      <c r="L8" t="s">
        <v>149</v>
      </c>
      <c r="M8" t="s">
        <v>69</v>
      </c>
      <c r="N8" t="s">
        <v>150</v>
      </c>
      <c r="O8" t="s">
        <v>69</v>
      </c>
      <c r="P8">
        <v>119.119</v>
      </c>
      <c r="Q8" t="s">
        <v>69</v>
      </c>
      <c r="R8" t="s">
        <v>69</v>
      </c>
      <c r="S8">
        <v>28</v>
      </c>
      <c r="T8" t="s">
        <v>151</v>
      </c>
      <c r="U8" t="s">
        <v>69</v>
      </c>
      <c r="V8" t="s">
        <v>152</v>
      </c>
      <c r="W8" t="s">
        <v>69</v>
      </c>
      <c r="X8">
        <v>165.19200000000001</v>
      </c>
      <c r="Y8" t="s">
        <v>69</v>
      </c>
      <c r="Z8" t="s">
        <v>69</v>
      </c>
      <c r="AA8">
        <v>34</v>
      </c>
      <c r="AB8" t="s">
        <v>147</v>
      </c>
      <c r="AC8" t="s">
        <v>153</v>
      </c>
      <c r="AD8" t="s">
        <v>148</v>
      </c>
      <c r="AE8" t="s">
        <v>153</v>
      </c>
      <c r="AF8">
        <v>146.14599999999999</v>
      </c>
      <c r="AG8" t="s">
        <v>69</v>
      </c>
      <c r="AH8" t="s">
        <v>69</v>
      </c>
      <c r="AI8">
        <v>37</v>
      </c>
      <c r="AJ8" t="s">
        <v>119</v>
      </c>
      <c r="AK8" t="s">
        <v>69</v>
      </c>
      <c r="AL8" t="s">
        <v>120</v>
      </c>
      <c r="AM8" t="s">
        <v>69</v>
      </c>
      <c r="AN8">
        <v>147.131</v>
      </c>
      <c r="AO8" t="s">
        <v>69</v>
      </c>
      <c r="AP8" t="s">
        <v>69</v>
      </c>
      <c r="AQ8">
        <v>45</v>
      </c>
      <c r="AR8" t="s">
        <v>72</v>
      </c>
      <c r="AS8" t="s">
        <v>69</v>
      </c>
      <c r="AT8" t="s">
        <v>71</v>
      </c>
      <c r="AU8" t="s">
        <v>69</v>
      </c>
      <c r="AV8">
        <v>131.17500000000001</v>
      </c>
      <c r="AW8" t="s">
        <v>69</v>
      </c>
      <c r="AX8" t="s">
        <v>69</v>
      </c>
      <c r="AY8">
        <v>79</v>
      </c>
      <c r="AZ8" t="s">
        <v>72</v>
      </c>
      <c r="BA8" t="s">
        <v>69</v>
      </c>
      <c r="BB8" t="s">
        <v>71</v>
      </c>
      <c r="BC8" t="s">
        <v>69</v>
      </c>
      <c r="BD8">
        <v>131.17500000000001</v>
      </c>
      <c r="BE8" t="s">
        <v>69</v>
      </c>
      <c r="BF8" t="s">
        <v>69</v>
      </c>
      <c r="BG8">
        <v>82</v>
      </c>
      <c r="BH8" t="s">
        <v>149</v>
      </c>
      <c r="BI8" t="s">
        <v>153</v>
      </c>
      <c r="BJ8" t="s">
        <v>150</v>
      </c>
      <c r="BK8" t="s">
        <v>153</v>
      </c>
      <c r="BL8">
        <v>119.119</v>
      </c>
      <c r="BM8" t="s">
        <v>153</v>
      </c>
      <c r="BN8" t="s">
        <v>153</v>
      </c>
      <c r="BO8">
        <v>330</v>
      </c>
      <c r="BP8" t="s">
        <v>153</v>
      </c>
      <c r="BQ8" t="s">
        <v>69</v>
      </c>
      <c r="BR8" t="s">
        <v>148</v>
      </c>
      <c r="BS8" t="s">
        <v>69</v>
      </c>
      <c r="BT8">
        <v>132.119</v>
      </c>
      <c r="BU8" t="s">
        <v>69</v>
      </c>
      <c r="BV8" t="s">
        <v>69</v>
      </c>
      <c r="BW8">
        <v>354</v>
      </c>
      <c r="BX8" t="s">
        <v>70</v>
      </c>
      <c r="BY8" t="s">
        <v>69</v>
      </c>
      <c r="BZ8" t="s">
        <v>71</v>
      </c>
      <c r="CA8" t="s">
        <v>69</v>
      </c>
      <c r="CB8">
        <v>75.066999999999993</v>
      </c>
      <c r="CC8" t="s">
        <v>69</v>
      </c>
      <c r="CD8" t="s">
        <v>69</v>
      </c>
      <c r="CE8">
        <v>355</v>
      </c>
      <c r="CF8" t="s">
        <v>156</v>
      </c>
      <c r="CG8" t="s">
        <v>69</v>
      </c>
      <c r="CH8" t="s">
        <v>120</v>
      </c>
      <c r="CI8" t="s">
        <v>69</v>
      </c>
      <c r="CJ8">
        <v>133.10400000000001</v>
      </c>
      <c r="CK8" t="s">
        <v>69</v>
      </c>
      <c r="CL8" t="s">
        <v>69</v>
      </c>
      <c r="CM8">
        <v>357</v>
      </c>
      <c r="CN8" t="s">
        <v>74</v>
      </c>
      <c r="CO8" t="s">
        <v>69</v>
      </c>
      <c r="CP8" t="s">
        <v>75</v>
      </c>
      <c r="CQ8" t="s">
        <v>69</v>
      </c>
      <c r="CR8">
        <v>174.203</v>
      </c>
      <c r="CS8" t="s">
        <v>69</v>
      </c>
      <c r="CT8" t="s">
        <v>69</v>
      </c>
      <c r="CU8">
        <v>393</v>
      </c>
      <c r="CV8" t="s">
        <v>74</v>
      </c>
      <c r="CW8" t="s">
        <v>69</v>
      </c>
      <c r="CX8" t="s">
        <v>75</v>
      </c>
      <c r="CY8" t="s">
        <v>69</v>
      </c>
      <c r="CZ8">
        <v>174.203</v>
      </c>
      <c r="DA8" t="s">
        <v>69</v>
      </c>
      <c r="DB8" t="s">
        <v>69</v>
      </c>
    </row>
    <row r="9" spans="1:106" x14ac:dyDescent="0.25">
      <c r="A9">
        <v>7</v>
      </c>
      <c r="B9" t="str">
        <f>HYPERLINK("http://www.ncbi.nlm.nih.gov/protein/QLF98525.1","QLF98525.1")</f>
        <v>QLF98525.1</v>
      </c>
      <c r="C9">
        <v>53150</v>
      </c>
      <c r="D9" t="str">
        <f>HYPERLINK("http://www.ncbi.nlm.nih.gov/Taxonomy/Browser/wwwtax.cgi?mode=Info&amp;id=9986&amp;lvl=3&amp;lin=f&amp;keep=1&amp;srchmode=1&amp;unlock","9986")</f>
        <v>9986</v>
      </c>
      <c r="E9" t="s">
        <v>66</v>
      </c>
      <c r="F9" t="str">
        <f>HYPERLINK("http://www.ncbi.nlm.nih.gov/Taxonomy/Browser/wwwtax.cgi?mode=Info&amp;id=9986&amp;lvl=3&amp;lin=f&amp;keep=1&amp;srchmode=1&amp;unlock","Oryctolagus cuniculus")</f>
        <v>Oryctolagus cuniculus</v>
      </c>
      <c r="G9" t="s">
        <v>83</v>
      </c>
      <c r="H9" t="str">
        <f>HYPERLINK("http://www.ncbi.nlm.nih.gov/protein/QLF98525.1","angiotensin I converting enzyme 2")</f>
        <v>angiotensin I converting enzyme 2</v>
      </c>
      <c r="I9" t="s">
        <v>154</v>
      </c>
      <c r="J9" t="s">
        <v>153</v>
      </c>
      <c r="K9">
        <v>27</v>
      </c>
      <c r="L9" t="s">
        <v>149</v>
      </c>
      <c r="M9" t="s">
        <v>69</v>
      </c>
      <c r="N9" t="s">
        <v>150</v>
      </c>
      <c r="O9" t="s">
        <v>69</v>
      </c>
      <c r="P9">
        <v>119.119</v>
      </c>
      <c r="Q9" t="s">
        <v>69</v>
      </c>
      <c r="R9" t="s">
        <v>69</v>
      </c>
      <c r="S9">
        <v>28</v>
      </c>
      <c r="T9" t="s">
        <v>151</v>
      </c>
      <c r="U9" t="s">
        <v>69</v>
      </c>
      <c r="V9" t="s">
        <v>152</v>
      </c>
      <c r="W9" t="s">
        <v>69</v>
      </c>
      <c r="X9">
        <v>165.19200000000001</v>
      </c>
      <c r="Y9" t="s">
        <v>69</v>
      </c>
      <c r="Z9" t="s">
        <v>69</v>
      </c>
      <c r="AA9">
        <v>34</v>
      </c>
      <c r="AB9" t="s">
        <v>147</v>
      </c>
      <c r="AC9" t="s">
        <v>153</v>
      </c>
      <c r="AD9" t="s">
        <v>148</v>
      </c>
      <c r="AE9" t="s">
        <v>153</v>
      </c>
      <c r="AF9">
        <v>146.14599999999999</v>
      </c>
      <c r="AG9" t="s">
        <v>69</v>
      </c>
      <c r="AH9" t="s">
        <v>69</v>
      </c>
      <c r="AI9">
        <v>37</v>
      </c>
      <c r="AJ9" t="s">
        <v>119</v>
      </c>
      <c r="AK9" t="s">
        <v>69</v>
      </c>
      <c r="AL9" t="s">
        <v>120</v>
      </c>
      <c r="AM9" t="s">
        <v>69</v>
      </c>
      <c r="AN9">
        <v>147.131</v>
      </c>
      <c r="AO9" t="s">
        <v>69</v>
      </c>
      <c r="AP9" t="s">
        <v>69</v>
      </c>
      <c r="AQ9">
        <v>45</v>
      </c>
      <c r="AR9" t="s">
        <v>72</v>
      </c>
      <c r="AS9" t="s">
        <v>69</v>
      </c>
      <c r="AT9" t="s">
        <v>71</v>
      </c>
      <c r="AU9" t="s">
        <v>69</v>
      </c>
      <c r="AV9">
        <v>131.17500000000001</v>
      </c>
      <c r="AW9" t="s">
        <v>69</v>
      </c>
      <c r="AX9" t="s">
        <v>69</v>
      </c>
      <c r="AY9">
        <v>79</v>
      </c>
      <c r="AZ9" t="s">
        <v>72</v>
      </c>
      <c r="BA9" t="s">
        <v>69</v>
      </c>
      <c r="BB9" t="s">
        <v>71</v>
      </c>
      <c r="BC9" t="s">
        <v>69</v>
      </c>
      <c r="BD9">
        <v>131.17500000000001</v>
      </c>
      <c r="BE9" t="s">
        <v>69</v>
      </c>
      <c r="BF9" t="s">
        <v>69</v>
      </c>
      <c r="BG9">
        <v>82</v>
      </c>
      <c r="BH9" t="s">
        <v>149</v>
      </c>
      <c r="BI9" t="s">
        <v>153</v>
      </c>
      <c r="BJ9" t="s">
        <v>150</v>
      </c>
      <c r="BK9" t="s">
        <v>153</v>
      </c>
      <c r="BL9">
        <v>119.119</v>
      </c>
      <c r="BM9" t="s">
        <v>153</v>
      </c>
      <c r="BN9" t="s">
        <v>153</v>
      </c>
      <c r="BO9">
        <v>330</v>
      </c>
      <c r="BP9" t="s">
        <v>153</v>
      </c>
      <c r="BQ9" t="s">
        <v>69</v>
      </c>
      <c r="BR9" t="s">
        <v>148</v>
      </c>
      <c r="BS9" t="s">
        <v>69</v>
      </c>
      <c r="BT9">
        <v>132.119</v>
      </c>
      <c r="BU9" t="s">
        <v>69</v>
      </c>
      <c r="BV9" t="s">
        <v>69</v>
      </c>
      <c r="BW9">
        <v>354</v>
      </c>
      <c r="BX9" t="s">
        <v>70</v>
      </c>
      <c r="BY9" t="s">
        <v>69</v>
      </c>
      <c r="BZ9" t="s">
        <v>71</v>
      </c>
      <c r="CA9" t="s">
        <v>69</v>
      </c>
      <c r="CB9">
        <v>75.066999999999993</v>
      </c>
      <c r="CC9" t="s">
        <v>69</v>
      </c>
      <c r="CD9" t="s">
        <v>69</v>
      </c>
      <c r="CE9">
        <v>355</v>
      </c>
      <c r="CF9" t="s">
        <v>156</v>
      </c>
      <c r="CG9" t="s">
        <v>69</v>
      </c>
      <c r="CH9" t="s">
        <v>120</v>
      </c>
      <c r="CI9" t="s">
        <v>69</v>
      </c>
      <c r="CJ9">
        <v>133.10400000000001</v>
      </c>
      <c r="CK9" t="s">
        <v>69</v>
      </c>
      <c r="CL9" t="s">
        <v>69</v>
      </c>
      <c r="CM9">
        <v>357</v>
      </c>
      <c r="CN9" t="s">
        <v>74</v>
      </c>
      <c r="CO9" t="s">
        <v>69</v>
      </c>
      <c r="CP9" t="s">
        <v>75</v>
      </c>
      <c r="CQ9" t="s">
        <v>69</v>
      </c>
      <c r="CR9">
        <v>174.203</v>
      </c>
      <c r="CS9" t="s">
        <v>69</v>
      </c>
      <c r="CT9" t="s">
        <v>69</v>
      </c>
      <c r="CU9">
        <v>393</v>
      </c>
      <c r="CV9" t="s">
        <v>74</v>
      </c>
      <c r="CW9" t="s">
        <v>69</v>
      </c>
      <c r="CX9" t="s">
        <v>75</v>
      </c>
      <c r="CY9" t="s">
        <v>69</v>
      </c>
      <c r="CZ9">
        <v>174.203</v>
      </c>
      <c r="DA9" t="s">
        <v>69</v>
      </c>
      <c r="DB9" t="s">
        <v>69</v>
      </c>
    </row>
    <row r="10" spans="1:106" x14ac:dyDescent="0.25">
      <c r="A10">
        <v>7</v>
      </c>
      <c r="B10" t="str">
        <f>HYPERLINK("http://www.ncbi.nlm.nih.gov/protein/XP_025790417.1","XP_025790417.1")</f>
        <v>XP_025790417.1</v>
      </c>
      <c r="C10">
        <v>23623</v>
      </c>
      <c r="D10" t="str">
        <f>HYPERLINK("http://www.ncbi.nlm.nih.gov/Taxonomy/Browser/wwwtax.cgi?mode=Info&amp;id=9696&amp;lvl=3&amp;lin=f&amp;keep=1&amp;srchmode=1&amp;unlock","9696")</f>
        <v>9696</v>
      </c>
      <c r="E10" t="s">
        <v>66</v>
      </c>
      <c r="F10" t="str">
        <f>HYPERLINK("http://www.ncbi.nlm.nih.gov/Taxonomy/Browser/wwwtax.cgi?mode=Info&amp;id=9696&amp;lvl=3&amp;lin=f&amp;keep=1&amp;srchmode=1&amp;unlock","Puma concolor")</f>
        <v>Puma concolor</v>
      </c>
      <c r="G10" t="s">
        <v>91</v>
      </c>
      <c r="H10" t="str">
        <f>HYPERLINK("http://www.ncbi.nlm.nih.gov/protein/XP_025790417.1","angiotensin-converting enzyme 2")</f>
        <v>angiotensin-converting enzyme 2</v>
      </c>
      <c r="I10" t="s">
        <v>154</v>
      </c>
      <c r="J10" t="s">
        <v>153</v>
      </c>
      <c r="K10">
        <v>27</v>
      </c>
      <c r="L10" t="s">
        <v>149</v>
      </c>
      <c r="M10" t="s">
        <v>69</v>
      </c>
      <c r="N10" t="s">
        <v>150</v>
      </c>
      <c r="O10" t="s">
        <v>69</v>
      </c>
      <c r="P10">
        <v>119.119</v>
      </c>
      <c r="Q10" t="s">
        <v>69</v>
      </c>
      <c r="R10" t="s">
        <v>69</v>
      </c>
      <c r="S10">
        <v>28</v>
      </c>
      <c r="T10" t="s">
        <v>151</v>
      </c>
      <c r="U10" t="s">
        <v>69</v>
      </c>
      <c r="V10" t="s">
        <v>152</v>
      </c>
      <c r="W10" t="s">
        <v>69</v>
      </c>
      <c r="X10">
        <v>165.19200000000001</v>
      </c>
      <c r="Y10" t="s">
        <v>69</v>
      </c>
      <c r="Z10" t="s">
        <v>69</v>
      </c>
      <c r="AA10">
        <v>34</v>
      </c>
      <c r="AB10" t="s">
        <v>157</v>
      </c>
      <c r="AC10" t="s">
        <v>69</v>
      </c>
      <c r="AD10" t="s">
        <v>75</v>
      </c>
      <c r="AE10" t="s">
        <v>69</v>
      </c>
      <c r="AF10">
        <v>155.15600000000001</v>
      </c>
      <c r="AG10" t="s">
        <v>69</v>
      </c>
      <c r="AH10" t="s">
        <v>69</v>
      </c>
      <c r="AI10">
        <v>37</v>
      </c>
      <c r="AJ10" t="s">
        <v>119</v>
      </c>
      <c r="AK10" t="s">
        <v>69</v>
      </c>
      <c r="AL10" t="s">
        <v>120</v>
      </c>
      <c r="AM10" t="s">
        <v>69</v>
      </c>
      <c r="AN10">
        <v>147.131</v>
      </c>
      <c r="AO10" t="s">
        <v>69</v>
      </c>
      <c r="AP10" t="s">
        <v>69</v>
      </c>
      <c r="AQ10">
        <v>45</v>
      </c>
      <c r="AR10" t="s">
        <v>72</v>
      </c>
      <c r="AS10" t="s">
        <v>69</v>
      </c>
      <c r="AT10" t="s">
        <v>71</v>
      </c>
      <c r="AU10" t="s">
        <v>69</v>
      </c>
      <c r="AV10">
        <v>131.17500000000001</v>
      </c>
      <c r="AW10" t="s">
        <v>69</v>
      </c>
      <c r="AX10" t="s">
        <v>69</v>
      </c>
      <c r="AY10">
        <v>79</v>
      </c>
      <c r="AZ10" t="s">
        <v>72</v>
      </c>
      <c r="BA10" t="s">
        <v>69</v>
      </c>
      <c r="BB10" t="s">
        <v>71</v>
      </c>
      <c r="BC10" t="s">
        <v>69</v>
      </c>
      <c r="BD10">
        <v>131.17500000000001</v>
      </c>
      <c r="BE10" t="s">
        <v>69</v>
      </c>
      <c r="BF10" t="s">
        <v>69</v>
      </c>
      <c r="BG10">
        <v>82</v>
      </c>
      <c r="BH10" t="s">
        <v>149</v>
      </c>
      <c r="BI10" t="s">
        <v>153</v>
      </c>
      <c r="BJ10" t="s">
        <v>150</v>
      </c>
      <c r="BK10" t="s">
        <v>153</v>
      </c>
      <c r="BL10">
        <v>119.119</v>
      </c>
      <c r="BM10" t="s">
        <v>153</v>
      </c>
      <c r="BN10" t="s">
        <v>153</v>
      </c>
      <c r="BO10">
        <v>330</v>
      </c>
      <c r="BP10" t="s">
        <v>153</v>
      </c>
      <c r="BQ10" t="s">
        <v>69</v>
      </c>
      <c r="BR10" t="s">
        <v>148</v>
      </c>
      <c r="BS10" t="s">
        <v>69</v>
      </c>
      <c r="BT10">
        <v>132.119</v>
      </c>
      <c r="BU10" t="s">
        <v>69</v>
      </c>
      <c r="BV10" t="s">
        <v>69</v>
      </c>
      <c r="BW10">
        <v>354</v>
      </c>
      <c r="BX10" t="s">
        <v>70</v>
      </c>
      <c r="BY10" t="s">
        <v>69</v>
      </c>
      <c r="BZ10" t="s">
        <v>71</v>
      </c>
      <c r="CA10" t="s">
        <v>69</v>
      </c>
      <c r="CB10">
        <v>75.066999999999993</v>
      </c>
      <c r="CC10" t="s">
        <v>69</v>
      </c>
      <c r="CD10" t="s">
        <v>69</v>
      </c>
      <c r="CE10">
        <v>355</v>
      </c>
      <c r="CF10" t="s">
        <v>156</v>
      </c>
      <c r="CG10" t="s">
        <v>69</v>
      </c>
      <c r="CH10" t="s">
        <v>120</v>
      </c>
      <c r="CI10" t="s">
        <v>69</v>
      </c>
      <c r="CJ10">
        <v>133.10400000000001</v>
      </c>
      <c r="CK10" t="s">
        <v>69</v>
      </c>
      <c r="CL10" t="s">
        <v>69</v>
      </c>
      <c r="CM10">
        <v>357</v>
      </c>
      <c r="CN10" t="s">
        <v>74</v>
      </c>
      <c r="CO10" t="s">
        <v>69</v>
      </c>
      <c r="CP10" t="s">
        <v>75</v>
      </c>
      <c r="CQ10" t="s">
        <v>69</v>
      </c>
      <c r="CR10">
        <v>174.203</v>
      </c>
      <c r="CS10" t="s">
        <v>69</v>
      </c>
      <c r="CT10" t="s">
        <v>69</v>
      </c>
      <c r="CU10">
        <v>393</v>
      </c>
      <c r="CV10" t="s">
        <v>74</v>
      </c>
      <c r="CW10" t="s">
        <v>69</v>
      </c>
      <c r="CX10" t="s">
        <v>75</v>
      </c>
      <c r="CY10" t="s">
        <v>69</v>
      </c>
      <c r="CZ10">
        <v>174.203</v>
      </c>
      <c r="DA10" t="s">
        <v>69</v>
      </c>
      <c r="DB10" t="s">
        <v>69</v>
      </c>
    </row>
    <row r="11" spans="1:106" x14ac:dyDescent="0.25">
      <c r="A11">
        <v>7</v>
      </c>
      <c r="B11" t="str">
        <f>HYPERLINK("http://www.ncbi.nlm.nih.gov/protein/XP_007090142.2","XP_007090142.2")</f>
        <v>XP_007090142.2</v>
      </c>
      <c r="C11">
        <v>56089</v>
      </c>
      <c r="D11" t="str">
        <f>HYPERLINK("http://www.ncbi.nlm.nih.gov/Taxonomy/Browser/wwwtax.cgi?mode=Info&amp;id=9694&amp;lvl=3&amp;lin=f&amp;keep=1&amp;srchmode=1&amp;unlock","9694")</f>
        <v>9694</v>
      </c>
      <c r="E11" t="s">
        <v>66</v>
      </c>
      <c r="F11" t="str">
        <f>HYPERLINK("http://www.ncbi.nlm.nih.gov/Taxonomy/Browser/wwwtax.cgi?mode=Info&amp;id=9694&amp;lvl=3&amp;lin=f&amp;keep=1&amp;srchmode=1&amp;unlock","Panthera tigris")</f>
        <v>Panthera tigris</v>
      </c>
      <c r="G11" t="s">
        <v>89</v>
      </c>
      <c r="H11" t="str">
        <f>HYPERLINK("http://www.ncbi.nlm.nih.gov/protein/XP_007090142.2","angiotensin-converting enzyme 2 isoform X1")</f>
        <v>angiotensin-converting enzyme 2 isoform X1</v>
      </c>
      <c r="I11" t="s">
        <v>154</v>
      </c>
      <c r="J11" t="s">
        <v>153</v>
      </c>
      <c r="K11">
        <v>27</v>
      </c>
      <c r="L11" t="s">
        <v>149</v>
      </c>
      <c r="M11" t="s">
        <v>69</v>
      </c>
      <c r="N11" t="s">
        <v>150</v>
      </c>
      <c r="O11" t="s">
        <v>69</v>
      </c>
      <c r="P11">
        <v>119.119</v>
      </c>
      <c r="Q11" t="s">
        <v>69</v>
      </c>
      <c r="R11" t="s">
        <v>69</v>
      </c>
      <c r="S11">
        <v>28</v>
      </c>
      <c r="T11" t="s">
        <v>151</v>
      </c>
      <c r="U11" t="s">
        <v>69</v>
      </c>
      <c r="V11" t="s">
        <v>152</v>
      </c>
      <c r="W11" t="s">
        <v>69</v>
      </c>
      <c r="X11">
        <v>165.19200000000001</v>
      </c>
      <c r="Y11" t="s">
        <v>69</v>
      </c>
      <c r="Z11" t="s">
        <v>69</v>
      </c>
      <c r="AA11">
        <v>34</v>
      </c>
      <c r="AB11" t="s">
        <v>157</v>
      </c>
      <c r="AC11" t="s">
        <v>69</v>
      </c>
      <c r="AD11" t="s">
        <v>75</v>
      </c>
      <c r="AE11" t="s">
        <v>69</v>
      </c>
      <c r="AF11">
        <v>155.15600000000001</v>
      </c>
      <c r="AG11" t="s">
        <v>69</v>
      </c>
      <c r="AH11" t="s">
        <v>69</v>
      </c>
      <c r="AI11">
        <v>37</v>
      </c>
      <c r="AJ11" t="s">
        <v>119</v>
      </c>
      <c r="AK11" t="s">
        <v>69</v>
      </c>
      <c r="AL11" t="s">
        <v>120</v>
      </c>
      <c r="AM11" t="s">
        <v>69</v>
      </c>
      <c r="AN11">
        <v>147.131</v>
      </c>
      <c r="AO11" t="s">
        <v>69</v>
      </c>
      <c r="AP11" t="s">
        <v>69</v>
      </c>
      <c r="AQ11">
        <v>45</v>
      </c>
      <c r="AR11" t="s">
        <v>72</v>
      </c>
      <c r="AS11" t="s">
        <v>69</v>
      </c>
      <c r="AT11" t="s">
        <v>71</v>
      </c>
      <c r="AU11" t="s">
        <v>69</v>
      </c>
      <c r="AV11">
        <v>131.17500000000001</v>
      </c>
      <c r="AW11" t="s">
        <v>69</v>
      </c>
      <c r="AX11" t="s">
        <v>69</v>
      </c>
      <c r="AY11">
        <v>79</v>
      </c>
      <c r="AZ11" t="s">
        <v>72</v>
      </c>
      <c r="BA11" t="s">
        <v>69</v>
      </c>
      <c r="BB11" t="s">
        <v>71</v>
      </c>
      <c r="BC11" t="s">
        <v>69</v>
      </c>
      <c r="BD11">
        <v>131.17500000000001</v>
      </c>
      <c r="BE11" t="s">
        <v>69</v>
      </c>
      <c r="BF11" t="s">
        <v>69</v>
      </c>
      <c r="BG11">
        <v>82</v>
      </c>
      <c r="BH11" t="s">
        <v>149</v>
      </c>
      <c r="BI11" t="s">
        <v>153</v>
      </c>
      <c r="BJ11" t="s">
        <v>150</v>
      </c>
      <c r="BK11" t="s">
        <v>153</v>
      </c>
      <c r="BL11">
        <v>119.119</v>
      </c>
      <c r="BM11" t="s">
        <v>153</v>
      </c>
      <c r="BN11" t="s">
        <v>153</v>
      </c>
      <c r="BO11">
        <v>330</v>
      </c>
      <c r="BP11" t="s">
        <v>153</v>
      </c>
      <c r="BQ11" t="s">
        <v>69</v>
      </c>
      <c r="BR11" t="s">
        <v>148</v>
      </c>
      <c r="BS11" t="s">
        <v>69</v>
      </c>
      <c r="BT11">
        <v>132.119</v>
      </c>
      <c r="BU11" t="s">
        <v>69</v>
      </c>
      <c r="BV11" t="s">
        <v>69</v>
      </c>
      <c r="BW11">
        <v>354</v>
      </c>
      <c r="BX11" t="s">
        <v>70</v>
      </c>
      <c r="BY11" t="s">
        <v>69</v>
      </c>
      <c r="BZ11" t="s">
        <v>71</v>
      </c>
      <c r="CA11" t="s">
        <v>69</v>
      </c>
      <c r="CB11">
        <v>75.066999999999993</v>
      </c>
      <c r="CC11" t="s">
        <v>69</v>
      </c>
      <c r="CD11" t="s">
        <v>69</v>
      </c>
      <c r="CE11">
        <v>355</v>
      </c>
      <c r="CF11" t="s">
        <v>156</v>
      </c>
      <c r="CG11" t="s">
        <v>69</v>
      </c>
      <c r="CH11" t="s">
        <v>120</v>
      </c>
      <c r="CI11" t="s">
        <v>69</v>
      </c>
      <c r="CJ11">
        <v>133.10400000000001</v>
      </c>
      <c r="CK11" t="s">
        <v>69</v>
      </c>
      <c r="CL11" t="s">
        <v>69</v>
      </c>
      <c r="CM11">
        <v>357</v>
      </c>
      <c r="CN11" t="s">
        <v>74</v>
      </c>
      <c r="CO11" t="s">
        <v>69</v>
      </c>
      <c r="CP11" t="s">
        <v>75</v>
      </c>
      <c r="CQ11" t="s">
        <v>69</v>
      </c>
      <c r="CR11">
        <v>174.203</v>
      </c>
      <c r="CS11" t="s">
        <v>69</v>
      </c>
      <c r="CT11" t="s">
        <v>69</v>
      </c>
      <c r="CU11">
        <v>393</v>
      </c>
      <c r="CV11" t="s">
        <v>74</v>
      </c>
      <c r="CW11" t="s">
        <v>69</v>
      </c>
      <c r="CX11" t="s">
        <v>75</v>
      </c>
      <c r="CY11" t="s">
        <v>69</v>
      </c>
      <c r="CZ11">
        <v>174.203</v>
      </c>
      <c r="DA11" t="s">
        <v>69</v>
      </c>
      <c r="DB11" t="s">
        <v>69</v>
      </c>
    </row>
    <row r="12" spans="1:106" x14ac:dyDescent="0.25">
      <c r="A12">
        <v>7</v>
      </c>
      <c r="B12" t="str">
        <f>HYPERLINK("http://www.ncbi.nlm.nih.gov/protein/XP_047700804.1","XP_047700804.1")</f>
        <v>XP_047700804.1</v>
      </c>
      <c r="C12">
        <v>56399</v>
      </c>
      <c r="D12" t="str">
        <f>HYPERLINK("http://www.ncbi.nlm.nih.gov/Taxonomy/Browser/wwwtax.cgi?mode=Info&amp;id=61388&amp;lvl=3&amp;lin=f&amp;keep=1&amp;srchmode=1&amp;unlock","61388")</f>
        <v>61388</v>
      </c>
      <c r="E12" t="s">
        <v>66</v>
      </c>
      <c r="F12" t="str">
        <f>HYPERLINK("http://www.ncbi.nlm.nih.gov/Taxonomy/Browser/wwwtax.cgi?mode=Info&amp;id=61388&amp;lvl=3&amp;lin=f&amp;keep=1&amp;srchmode=1&amp;unlock","Prionailurus viverrinus")</f>
        <v>Prionailurus viverrinus</v>
      </c>
      <c r="G12" t="s">
        <v>94</v>
      </c>
      <c r="H12" t="str">
        <f>HYPERLINK("http://www.ncbi.nlm.nih.gov/protein/XP_047700804.1","angiotensin-converting enzyme 2 isoform X1")</f>
        <v>angiotensin-converting enzyme 2 isoform X1</v>
      </c>
      <c r="I12" t="s">
        <v>154</v>
      </c>
      <c r="J12" t="s">
        <v>153</v>
      </c>
      <c r="K12">
        <v>27</v>
      </c>
      <c r="L12" t="s">
        <v>149</v>
      </c>
      <c r="M12" t="s">
        <v>69</v>
      </c>
      <c r="N12" t="s">
        <v>150</v>
      </c>
      <c r="O12" t="s">
        <v>69</v>
      </c>
      <c r="P12">
        <v>119.119</v>
      </c>
      <c r="Q12" t="s">
        <v>69</v>
      </c>
      <c r="R12" t="s">
        <v>69</v>
      </c>
      <c r="S12">
        <v>28</v>
      </c>
      <c r="T12" t="s">
        <v>151</v>
      </c>
      <c r="U12" t="s">
        <v>69</v>
      </c>
      <c r="V12" t="s">
        <v>152</v>
      </c>
      <c r="W12" t="s">
        <v>69</v>
      </c>
      <c r="X12">
        <v>165.19200000000001</v>
      </c>
      <c r="Y12" t="s">
        <v>69</v>
      </c>
      <c r="Z12" t="s">
        <v>69</v>
      </c>
      <c r="AA12">
        <v>34</v>
      </c>
      <c r="AB12" t="s">
        <v>157</v>
      </c>
      <c r="AC12" t="s">
        <v>69</v>
      </c>
      <c r="AD12" t="s">
        <v>75</v>
      </c>
      <c r="AE12" t="s">
        <v>69</v>
      </c>
      <c r="AF12">
        <v>155.15600000000001</v>
      </c>
      <c r="AG12" t="s">
        <v>69</v>
      </c>
      <c r="AH12" t="s">
        <v>69</v>
      </c>
      <c r="AI12">
        <v>37</v>
      </c>
      <c r="AJ12" t="s">
        <v>119</v>
      </c>
      <c r="AK12" t="s">
        <v>69</v>
      </c>
      <c r="AL12" t="s">
        <v>120</v>
      </c>
      <c r="AM12" t="s">
        <v>69</v>
      </c>
      <c r="AN12">
        <v>147.131</v>
      </c>
      <c r="AO12" t="s">
        <v>69</v>
      </c>
      <c r="AP12" t="s">
        <v>69</v>
      </c>
      <c r="AQ12">
        <v>45</v>
      </c>
      <c r="AR12" t="s">
        <v>72</v>
      </c>
      <c r="AS12" t="s">
        <v>69</v>
      </c>
      <c r="AT12" t="s">
        <v>71</v>
      </c>
      <c r="AU12" t="s">
        <v>69</v>
      </c>
      <c r="AV12">
        <v>131.17500000000001</v>
      </c>
      <c r="AW12" t="s">
        <v>69</v>
      </c>
      <c r="AX12" t="s">
        <v>69</v>
      </c>
      <c r="AY12">
        <v>79</v>
      </c>
      <c r="AZ12" t="s">
        <v>72</v>
      </c>
      <c r="BA12" t="s">
        <v>69</v>
      </c>
      <c r="BB12" t="s">
        <v>71</v>
      </c>
      <c r="BC12" t="s">
        <v>69</v>
      </c>
      <c r="BD12">
        <v>131.17500000000001</v>
      </c>
      <c r="BE12" t="s">
        <v>69</v>
      </c>
      <c r="BF12" t="s">
        <v>69</v>
      </c>
      <c r="BG12">
        <v>82</v>
      </c>
      <c r="BH12" t="s">
        <v>149</v>
      </c>
      <c r="BI12" t="s">
        <v>153</v>
      </c>
      <c r="BJ12" t="s">
        <v>150</v>
      </c>
      <c r="BK12" t="s">
        <v>153</v>
      </c>
      <c r="BL12">
        <v>119.119</v>
      </c>
      <c r="BM12" t="s">
        <v>153</v>
      </c>
      <c r="BN12" t="s">
        <v>153</v>
      </c>
      <c r="BO12">
        <v>330</v>
      </c>
      <c r="BP12" t="s">
        <v>153</v>
      </c>
      <c r="BQ12" t="s">
        <v>69</v>
      </c>
      <c r="BR12" t="s">
        <v>148</v>
      </c>
      <c r="BS12" t="s">
        <v>69</v>
      </c>
      <c r="BT12">
        <v>132.119</v>
      </c>
      <c r="BU12" t="s">
        <v>69</v>
      </c>
      <c r="BV12" t="s">
        <v>69</v>
      </c>
      <c r="BW12">
        <v>354</v>
      </c>
      <c r="BX12" t="s">
        <v>70</v>
      </c>
      <c r="BY12" t="s">
        <v>69</v>
      </c>
      <c r="BZ12" t="s">
        <v>71</v>
      </c>
      <c r="CA12" t="s">
        <v>69</v>
      </c>
      <c r="CB12">
        <v>75.066999999999993</v>
      </c>
      <c r="CC12" t="s">
        <v>69</v>
      </c>
      <c r="CD12" t="s">
        <v>69</v>
      </c>
      <c r="CE12">
        <v>355</v>
      </c>
      <c r="CF12" t="s">
        <v>156</v>
      </c>
      <c r="CG12" t="s">
        <v>69</v>
      </c>
      <c r="CH12" t="s">
        <v>120</v>
      </c>
      <c r="CI12" t="s">
        <v>69</v>
      </c>
      <c r="CJ12">
        <v>133.10400000000001</v>
      </c>
      <c r="CK12" t="s">
        <v>69</v>
      </c>
      <c r="CL12" t="s">
        <v>69</v>
      </c>
      <c r="CM12">
        <v>357</v>
      </c>
      <c r="CN12" t="s">
        <v>74</v>
      </c>
      <c r="CO12" t="s">
        <v>69</v>
      </c>
      <c r="CP12" t="s">
        <v>75</v>
      </c>
      <c r="CQ12" t="s">
        <v>69</v>
      </c>
      <c r="CR12">
        <v>174.203</v>
      </c>
      <c r="CS12" t="s">
        <v>69</v>
      </c>
      <c r="CT12" t="s">
        <v>69</v>
      </c>
      <c r="CU12">
        <v>393</v>
      </c>
      <c r="CV12" t="s">
        <v>74</v>
      </c>
      <c r="CW12" t="s">
        <v>69</v>
      </c>
      <c r="CX12" t="s">
        <v>75</v>
      </c>
      <c r="CY12" t="s">
        <v>69</v>
      </c>
      <c r="CZ12">
        <v>174.203</v>
      </c>
      <c r="DA12" t="s">
        <v>69</v>
      </c>
      <c r="DB12" t="s">
        <v>69</v>
      </c>
    </row>
    <row r="13" spans="1:106" x14ac:dyDescent="0.25">
      <c r="A13">
        <v>7</v>
      </c>
      <c r="B13" t="str">
        <f>HYPERLINK("http://www.ncbi.nlm.nih.gov/protein/NP_001034545.1","NP_001034545.1")</f>
        <v>NP_001034545.1</v>
      </c>
      <c r="C13">
        <v>74287</v>
      </c>
      <c r="D13" t="str">
        <f>HYPERLINK("http://www.ncbi.nlm.nih.gov/Taxonomy/Browser/wwwtax.cgi?mode=Info&amp;id=9685&amp;lvl=3&amp;lin=f&amp;keep=1&amp;srchmode=1&amp;unlock","9685")</f>
        <v>9685</v>
      </c>
      <c r="E13" t="s">
        <v>66</v>
      </c>
      <c r="F13" t="str">
        <f>HYPERLINK("http://www.ncbi.nlm.nih.gov/Taxonomy/Browser/wwwtax.cgi?mode=Info&amp;id=9685&amp;lvl=3&amp;lin=f&amp;keep=1&amp;srchmode=1&amp;unlock","Felis catus")</f>
        <v>Felis catus</v>
      </c>
      <c r="G13" t="s">
        <v>86</v>
      </c>
      <c r="H13" t="str">
        <f>HYPERLINK("http://www.ncbi.nlm.nih.gov/protein/NP_001034545.1","angiotensin-converting enzyme 2 precursor")</f>
        <v>angiotensin-converting enzyme 2 precursor</v>
      </c>
      <c r="I13" t="s">
        <v>154</v>
      </c>
      <c r="J13" t="s">
        <v>153</v>
      </c>
      <c r="K13">
        <v>27</v>
      </c>
      <c r="L13" t="s">
        <v>149</v>
      </c>
      <c r="M13" t="s">
        <v>69</v>
      </c>
      <c r="N13" t="s">
        <v>150</v>
      </c>
      <c r="O13" t="s">
        <v>69</v>
      </c>
      <c r="P13">
        <v>119.119</v>
      </c>
      <c r="Q13" t="s">
        <v>69</v>
      </c>
      <c r="R13" t="s">
        <v>69</v>
      </c>
      <c r="S13">
        <v>28</v>
      </c>
      <c r="T13" t="s">
        <v>151</v>
      </c>
      <c r="U13" t="s">
        <v>69</v>
      </c>
      <c r="V13" t="s">
        <v>152</v>
      </c>
      <c r="W13" t="s">
        <v>69</v>
      </c>
      <c r="X13">
        <v>165.19200000000001</v>
      </c>
      <c r="Y13" t="s">
        <v>69</v>
      </c>
      <c r="Z13" t="s">
        <v>69</v>
      </c>
      <c r="AA13">
        <v>34</v>
      </c>
      <c r="AB13" t="s">
        <v>157</v>
      </c>
      <c r="AC13" t="s">
        <v>69</v>
      </c>
      <c r="AD13" t="s">
        <v>75</v>
      </c>
      <c r="AE13" t="s">
        <v>69</v>
      </c>
      <c r="AF13">
        <v>155.15600000000001</v>
      </c>
      <c r="AG13" t="s">
        <v>69</v>
      </c>
      <c r="AH13" t="s">
        <v>69</v>
      </c>
      <c r="AI13">
        <v>37</v>
      </c>
      <c r="AJ13" t="s">
        <v>119</v>
      </c>
      <c r="AK13" t="s">
        <v>69</v>
      </c>
      <c r="AL13" t="s">
        <v>120</v>
      </c>
      <c r="AM13" t="s">
        <v>69</v>
      </c>
      <c r="AN13">
        <v>147.131</v>
      </c>
      <c r="AO13" t="s">
        <v>69</v>
      </c>
      <c r="AP13" t="s">
        <v>69</v>
      </c>
      <c r="AQ13">
        <v>45</v>
      </c>
      <c r="AR13" t="s">
        <v>72</v>
      </c>
      <c r="AS13" t="s">
        <v>69</v>
      </c>
      <c r="AT13" t="s">
        <v>71</v>
      </c>
      <c r="AU13" t="s">
        <v>69</v>
      </c>
      <c r="AV13">
        <v>131.17500000000001</v>
      </c>
      <c r="AW13" t="s">
        <v>69</v>
      </c>
      <c r="AX13" t="s">
        <v>69</v>
      </c>
      <c r="AY13">
        <v>79</v>
      </c>
      <c r="AZ13" t="s">
        <v>72</v>
      </c>
      <c r="BA13" t="s">
        <v>69</v>
      </c>
      <c r="BB13" t="s">
        <v>71</v>
      </c>
      <c r="BC13" t="s">
        <v>69</v>
      </c>
      <c r="BD13">
        <v>131.17500000000001</v>
      </c>
      <c r="BE13" t="s">
        <v>69</v>
      </c>
      <c r="BF13" t="s">
        <v>69</v>
      </c>
      <c r="BG13">
        <v>82</v>
      </c>
      <c r="BH13" t="s">
        <v>149</v>
      </c>
      <c r="BI13" t="s">
        <v>153</v>
      </c>
      <c r="BJ13" t="s">
        <v>150</v>
      </c>
      <c r="BK13" t="s">
        <v>153</v>
      </c>
      <c r="BL13">
        <v>119.119</v>
      </c>
      <c r="BM13" t="s">
        <v>153</v>
      </c>
      <c r="BN13" t="s">
        <v>153</v>
      </c>
      <c r="BO13">
        <v>330</v>
      </c>
      <c r="BP13" t="s">
        <v>153</v>
      </c>
      <c r="BQ13" t="s">
        <v>69</v>
      </c>
      <c r="BR13" t="s">
        <v>148</v>
      </c>
      <c r="BS13" t="s">
        <v>69</v>
      </c>
      <c r="BT13">
        <v>132.119</v>
      </c>
      <c r="BU13" t="s">
        <v>69</v>
      </c>
      <c r="BV13" t="s">
        <v>69</v>
      </c>
      <c r="BW13">
        <v>354</v>
      </c>
      <c r="BX13" t="s">
        <v>70</v>
      </c>
      <c r="BY13" t="s">
        <v>69</v>
      </c>
      <c r="BZ13" t="s">
        <v>71</v>
      </c>
      <c r="CA13" t="s">
        <v>69</v>
      </c>
      <c r="CB13">
        <v>75.066999999999993</v>
      </c>
      <c r="CC13" t="s">
        <v>69</v>
      </c>
      <c r="CD13" t="s">
        <v>69</v>
      </c>
      <c r="CE13">
        <v>355</v>
      </c>
      <c r="CF13" t="s">
        <v>156</v>
      </c>
      <c r="CG13" t="s">
        <v>69</v>
      </c>
      <c r="CH13" t="s">
        <v>120</v>
      </c>
      <c r="CI13" t="s">
        <v>69</v>
      </c>
      <c r="CJ13">
        <v>133.10400000000001</v>
      </c>
      <c r="CK13" t="s">
        <v>69</v>
      </c>
      <c r="CL13" t="s">
        <v>69</v>
      </c>
      <c r="CM13">
        <v>357</v>
      </c>
      <c r="CN13" t="s">
        <v>74</v>
      </c>
      <c r="CO13" t="s">
        <v>69</v>
      </c>
      <c r="CP13" t="s">
        <v>75</v>
      </c>
      <c r="CQ13" t="s">
        <v>69</v>
      </c>
      <c r="CR13">
        <v>174.203</v>
      </c>
      <c r="CS13" t="s">
        <v>69</v>
      </c>
      <c r="CT13" t="s">
        <v>69</v>
      </c>
      <c r="CU13">
        <v>393</v>
      </c>
      <c r="CV13" t="s">
        <v>74</v>
      </c>
      <c r="CW13" t="s">
        <v>69</v>
      </c>
      <c r="CX13" t="s">
        <v>75</v>
      </c>
      <c r="CY13" t="s">
        <v>69</v>
      </c>
      <c r="CZ13">
        <v>174.203</v>
      </c>
      <c r="DA13" t="s">
        <v>69</v>
      </c>
      <c r="DB13" t="s">
        <v>69</v>
      </c>
    </row>
    <row r="14" spans="1:106" x14ac:dyDescent="0.25">
      <c r="A14">
        <v>7</v>
      </c>
      <c r="B14" t="str">
        <f>HYPERLINK("http://www.ncbi.nlm.nih.gov/protein/XP_030160839.1","XP_030160839.1")</f>
        <v>XP_030160839.1</v>
      </c>
      <c r="C14">
        <v>42175</v>
      </c>
      <c r="D14" t="str">
        <f>HYPERLINK("http://www.ncbi.nlm.nih.gov/Taxonomy/Browser/wwwtax.cgi?mode=Info&amp;id=61383&amp;lvl=3&amp;lin=f&amp;keep=1&amp;srchmode=1&amp;unlock","61383")</f>
        <v>61383</v>
      </c>
      <c r="E14" t="s">
        <v>66</v>
      </c>
      <c r="F14" t="str">
        <f>HYPERLINK("http://www.ncbi.nlm.nih.gov/Taxonomy/Browser/wwwtax.cgi?mode=Info&amp;id=61383&amp;lvl=3&amp;lin=f&amp;keep=1&amp;srchmode=1&amp;unlock","Lynx canadensis")</f>
        <v>Lynx canadensis</v>
      </c>
      <c r="G14" t="s">
        <v>105</v>
      </c>
      <c r="H14" t="str">
        <f>HYPERLINK("http://www.ncbi.nlm.nih.gov/protein/XP_030160839.1","angiotensin-converting enzyme 2")</f>
        <v>angiotensin-converting enzyme 2</v>
      </c>
      <c r="I14" t="s">
        <v>154</v>
      </c>
      <c r="J14" t="s">
        <v>153</v>
      </c>
      <c r="K14">
        <v>27</v>
      </c>
      <c r="L14" t="s">
        <v>149</v>
      </c>
      <c r="M14" t="s">
        <v>69</v>
      </c>
      <c r="N14" t="s">
        <v>150</v>
      </c>
      <c r="O14" t="s">
        <v>69</v>
      </c>
      <c r="P14">
        <v>119.119</v>
      </c>
      <c r="Q14" t="s">
        <v>69</v>
      </c>
      <c r="R14" t="s">
        <v>69</v>
      </c>
      <c r="S14">
        <v>28</v>
      </c>
      <c r="T14" t="s">
        <v>151</v>
      </c>
      <c r="U14" t="s">
        <v>69</v>
      </c>
      <c r="V14" t="s">
        <v>152</v>
      </c>
      <c r="W14" t="s">
        <v>69</v>
      </c>
      <c r="X14">
        <v>165.19200000000001</v>
      </c>
      <c r="Y14" t="s">
        <v>69</v>
      </c>
      <c r="Z14" t="s">
        <v>69</v>
      </c>
      <c r="AA14">
        <v>34</v>
      </c>
      <c r="AB14" t="s">
        <v>157</v>
      </c>
      <c r="AC14" t="s">
        <v>69</v>
      </c>
      <c r="AD14" t="s">
        <v>75</v>
      </c>
      <c r="AE14" t="s">
        <v>69</v>
      </c>
      <c r="AF14">
        <v>155.15600000000001</v>
      </c>
      <c r="AG14" t="s">
        <v>69</v>
      </c>
      <c r="AH14" t="s">
        <v>69</v>
      </c>
      <c r="AI14">
        <v>37</v>
      </c>
      <c r="AJ14" t="s">
        <v>119</v>
      </c>
      <c r="AK14" t="s">
        <v>69</v>
      </c>
      <c r="AL14" t="s">
        <v>120</v>
      </c>
      <c r="AM14" t="s">
        <v>69</v>
      </c>
      <c r="AN14">
        <v>147.131</v>
      </c>
      <c r="AO14" t="s">
        <v>69</v>
      </c>
      <c r="AP14" t="s">
        <v>69</v>
      </c>
      <c r="AQ14">
        <v>45</v>
      </c>
      <c r="AR14" t="s">
        <v>72</v>
      </c>
      <c r="AS14" t="s">
        <v>69</v>
      </c>
      <c r="AT14" t="s">
        <v>71</v>
      </c>
      <c r="AU14" t="s">
        <v>69</v>
      </c>
      <c r="AV14">
        <v>131.17500000000001</v>
      </c>
      <c r="AW14" t="s">
        <v>69</v>
      </c>
      <c r="AX14" t="s">
        <v>69</v>
      </c>
      <c r="AY14">
        <v>79</v>
      </c>
      <c r="AZ14" t="s">
        <v>72</v>
      </c>
      <c r="BA14" t="s">
        <v>69</v>
      </c>
      <c r="BB14" t="s">
        <v>71</v>
      </c>
      <c r="BC14" t="s">
        <v>69</v>
      </c>
      <c r="BD14">
        <v>131.17500000000001</v>
      </c>
      <c r="BE14" t="s">
        <v>69</v>
      </c>
      <c r="BF14" t="s">
        <v>69</v>
      </c>
      <c r="BG14">
        <v>82</v>
      </c>
      <c r="BH14" t="s">
        <v>149</v>
      </c>
      <c r="BI14" t="s">
        <v>153</v>
      </c>
      <c r="BJ14" t="s">
        <v>150</v>
      </c>
      <c r="BK14" t="s">
        <v>153</v>
      </c>
      <c r="BL14">
        <v>119.119</v>
      </c>
      <c r="BM14" t="s">
        <v>153</v>
      </c>
      <c r="BN14" t="s">
        <v>153</v>
      </c>
      <c r="BO14">
        <v>330</v>
      </c>
      <c r="BP14" t="s">
        <v>153</v>
      </c>
      <c r="BQ14" t="s">
        <v>69</v>
      </c>
      <c r="BR14" t="s">
        <v>148</v>
      </c>
      <c r="BS14" t="s">
        <v>69</v>
      </c>
      <c r="BT14">
        <v>132.119</v>
      </c>
      <c r="BU14" t="s">
        <v>69</v>
      </c>
      <c r="BV14" t="s">
        <v>69</v>
      </c>
      <c r="BW14">
        <v>354</v>
      </c>
      <c r="BX14" t="s">
        <v>70</v>
      </c>
      <c r="BY14" t="s">
        <v>69</v>
      </c>
      <c r="BZ14" t="s">
        <v>71</v>
      </c>
      <c r="CA14" t="s">
        <v>69</v>
      </c>
      <c r="CB14">
        <v>75.066999999999993</v>
      </c>
      <c r="CC14" t="s">
        <v>69</v>
      </c>
      <c r="CD14" t="s">
        <v>69</v>
      </c>
      <c r="CE14">
        <v>355</v>
      </c>
      <c r="CF14" t="s">
        <v>156</v>
      </c>
      <c r="CG14" t="s">
        <v>69</v>
      </c>
      <c r="CH14" t="s">
        <v>120</v>
      </c>
      <c r="CI14" t="s">
        <v>69</v>
      </c>
      <c r="CJ14">
        <v>133.10400000000001</v>
      </c>
      <c r="CK14" t="s">
        <v>69</v>
      </c>
      <c r="CL14" t="s">
        <v>69</v>
      </c>
      <c r="CM14">
        <v>357</v>
      </c>
      <c r="CN14" t="s">
        <v>74</v>
      </c>
      <c r="CO14" t="s">
        <v>69</v>
      </c>
      <c r="CP14" t="s">
        <v>75</v>
      </c>
      <c r="CQ14" t="s">
        <v>69</v>
      </c>
      <c r="CR14">
        <v>174.203</v>
      </c>
      <c r="CS14" t="s">
        <v>69</v>
      </c>
      <c r="CT14" t="s">
        <v>69</v>
      </c>
      <c r="CU14">
        <v>393</v>
      </c>
      <c r="CV14" t="s">
        <v>74</v>
      </c>
      <c r="CW14" t="s">
        <v>69</v>
      </c>
      <c r="CX14" t="s">
        <v>75</v>
      </c>
      <c r="CY14" t="s">
        <v>69</v>
      </c>
      <c r="CZ14">
        <v>174.203</v>
      </c>
      <c r="DA14" t="s">
        <v>69</v>
      </c>
      <c r="DB14" t="s">
        <v>69</v>
      </c>
    </row>
    <row r="15" spans="1:106" x14ac:dyDescent="0.25">
      <c r="A15">
        <v>7</v>
      </c>
      <c r="B15" t="str">
        <f>HYPERLINK("http://www.ncbi.nlm.nih.gov/protein/XP_005074266.1","XP_005074266.1")</f>
        <v>XP_005074266.1</v>
      </c>
      <c r="C15">
        <v>54410</v>
      </c>
      <c r="D15" t="str">
        <f>HYPERLINK("http://www.ncbi.nlm.nih.gov/Taxonomy/Browser/wwwtax.cgi?mode=Info&amp;id=10036&amp;lvl=3&amp;lin=f&amp;keep=1&amp;srchmode=1&amp;unlock","10036")</f>
        <v>10036</v>
      </c>
      <c r="E15" t="s">
        <v>66</v>
      </c>
      <c r="F15" t="str">
        <f>HYPERLINK("http://www.ncbi.nlm.nih.gov/Taxonomy/Browser/wwwtax.cgi?mode=Info&amp;id=10036&amp;lvl=3&amp;lin=f&amp;keep=1&amp;srchmode=1&amp;unlock","Mesocricetus auratus")</f>
        <v>Mesocricetus auratus</v>
      </c>
      <c r="G15" t="s">
        <v>87</v>
      </c>
      <c r="H15" t="str">
        <f>HYPERLINK("http://www.ncbi.nlm.nih.gov/protein/XP_005074266.1","angiotensin-converting enzyme 2")</f>
        <v>angiotensin-converting enzyme 2</v>
      </c>
      <c r="I15" t="s">
        <v>154</v>
      </c>
      <c r="J15" t="s">
        <v>69</v>
      </c>
      <c r="K15">
        <v>27</v>
      </c>
      <c r="L15" t="s">
        <v>149</v>
      </c>
      <c r="M15" t="s">
        <v>69</v>
      </c>
      <c r="N15" t="s">
        <v>150</v>
      </c>
      <c r="O15" t="s">
        <v>69</v>
      </c>
      <c r="P15">
        <v>119.119</v>
      </c>
      <c r="Q15" t="s">
        <v>69</v>
      </c>
      <c r="R15" t="s">
        <v>69</v>
      </c>
      <c r="S15">
        <v>28</v>
      </c>
      <c r="T15" t="s">
        <v>151</v>
      </c>
      <c r="U15" t="s">
        <v>69</v>
      </c>
      <c r="V15" t="s">
        <v>152</v>
      </c>
      <c r="W15" t="s">
        <v>69</v>
      </c>
      <c r="X15">
        <v>165.19200000000001</v>
      </c>
      <c r="Y15" t="s">
        <v>69</v>
      </c>
      <c r="Z15" t="s">
        <v>69</v>
      </c>
      <c r="AA15">
        <v>34</v>
      </c>
      <c r="AB15" t="s">
        <v>147</v>
      </c>
      <c r="AC15" t="s">
        <v>153</v>
      </c>
      <c r="AD15" t="s">
        <v>148</v>
      </c>
      <c r="AE15" t="s">
        <v>153</v>
      </c>
      <c r="AF15">
        <v>146.14599999999999</v>
      </c>
      <c r="AG15" t="s">
        <v>69</v>
      </c>
      <c r="AH15" t="s">
        <v>69</v>
      </c>
      <c r="AI15">
        <v>37</v>
      </c>
      <c r="AJ15" t="s">
        <v>119</v>
      </c>
      <c r="AK15" t="s">
        <v>69</v>
      </c>
      <c r="AL15" t="s">
        <v>120</v>
      </c>
      <c r="AM15" t="s">
        <v>69</v>
      </c>
      <c r="AN15">
        <v>147.131</v>
      </c>
      <c r="AO15" t="s">
        <v>69</v>
      </c>
      <c r="AP15" t="s">
        <v>69</v>
      </c>
      <c r="AQ15">
        <v>45</v>
      </c>
      <c r="AR15" t="s">
        <v>72</v>
      </c>
      <c r="AS15" t="s">
        <v>69</v>
      </c>
      <c r="AT15" t="s">
        <v>71</v>
      </c>
      <c r="AU15" t="s">
        <v>69</v>
      </c>
      <c r="AV15">
        <v>131.17500000000001</v>
      </c>
      <c r="AW15" t="s">
        <v>69</v>
      </c>
      <c r="AX15" t="s">
        <v>69</v>
      </c>
      <c r="AY15">
        <v>79</v>
      </c>
      <c r="AZ15" t="s">
        <v>72</v>
      </c>
      <c r="BA15" t="s">
        <v>69</v>
      </c>
      <c r="BB15" t="s">
        <v>71</v>
      </c>
      <c r="BC15" t="s">
        <v>69</v>
      </c>
      <c r="BD15">
        <v>131.17500000000001</v>
      </c>
      <c r="BE15" t="s">
        <v>69</v>
      </c>
      <c r="BF15" t="s">
        <v>69</v>
      </c>
      <c r="BG15">
        <v>82</v>
      </c>
      <c r="BH15" t="s">
        <v>153</v>
      </c>
      <c r="BI15" t="s">
        <v>153</v>
      </c>
      <c r="BJ15" t="s">
        <v>148</v>
      </c>
      <c r="BK15" t="s">
        <v>153</v>
      </c>
      <c r="BL15">
        <v>132.119</v>
      </c>
      <c r="BM15" t="s">
        <v>69</v>
      </c>
      <c r="BN15" t="s">
        <v>69</v>
      </c>
      <c r="BO15">
        <v>330</v>
      </c>
      <c r="BP15" t="s">
        <v>153</v>
      </c>
      <c r="BQ15" t="s">
        <v>69</v>
      </c>
      <c r="BR15" t="s">
        <v>148</v>
      </c>
      <c r="BS15" t="s">
        <v>69</v>
      </c>
      <c r="BT15">
        <v>132.119</v>
      </c>
      <c r="BU15" t="s">
        <v>69</v>
      </c>
      <c r="BV15" t="s">
        <v>69</v>
      </c>
      <c r="BW15">
        <v>354</v>
      </c>
      <c r="BX15" t="s">
        <v>70</v>
      </c>
      <c r="BY15" t="s">
        <v>69</v>
      </c>
      <c r="BZ15" t="s">
        <v>71</v>
      </c>
      <c r="CA15" t="s">
        <v>69</v>
      </c>
      <c r="CB15">
        <v>75.066999999999993</v>
      </c>
      <c r="CC15" t="s">
        <v>69</v>
      </c>
      <c r="CD15" t="s">
        <v>69</v>
      </c>
      <c r="CE15">
        <v>355</v>
      </c>
      <c r="CF15" t="s">
        <v>156</v>
      </c>
      <c r="CG15" t="s">
        <v>69</v>
      </c>
      <c r="CH15" t="s">
        <v>120</v>
      </c>
      <c r="CI15" t="s">
        <v>69</v>
      </c>
      <c r="CJ15">
        <v>133.10400000000001</v>
      </c>
      <c r="CK15" t="s">
        <v>69</v>
      </c>
      <c r="CL15" t="s">
        <v>69</v>
      </c>
      <c r="CM15">
        <v>357</v>
      </c>
      <c r="CN15" t="s">
        <v>74</v>
      </c>
      <c r="CO15" t="s">
        <v>69</v>
      </c>
      <c r="CP15" t="s">
        <v>75</v>
      </c>
      <c r="CQ15" t="s">
        <v>69</v>
      </c>
      <c r="CR15">
        <v>174.203</v>
      </c>
      <c r="CS15" t="s">
        <v>69</v>
      </c>
      <c r="CT15" t="s">
        <v>69</v>
      </c>
      <c r="CU15">
        <v>393</v>
      </c>
      <c r="CV15" t="s">
        <v>74</v>
      </c>
      <c r="CW15" t="s">
        <v>69</v>
      </c>
      <c r="CX15" t="s">
        <v>75</v>
      </c>
      <c r="CY15" t="s">
        <v>69</v>
      </c>
      <c r="CZ15">
        <v>174.203</v>
      </c>
      <c r="DA15" t="s">
        <v>69</v>
      </c>
      <c r="DB15" t="s">
        <v>69</v>
      </c>
    </row>
    <row r="16" spans="1:106" x14ac:dyDescent="0.25">
      <c r="A16">
        <v>7</v>
      </c>
      <c r="B16" t="str">
        <f>HYPERLINK("http://www.ncbi.nlm.nih.gov/protein/QJS40032.1","QJS40032.1")</f>
        <v>QJS40032.1</v>
      </c>
      <c r="C16">
        <v>136357</v>
      </c>
      <c r="D16" t="str">
        <f>HYPERLINK("http://www.ncbi.nlm.nih.gov/Taxonomy/Browser/wwwtax.cgi?mode=Info&amp;id=9615&amp;lvl=3&amp;lin=f&amp;keep=1&amp;srchmode=1&amp;unlock","9615")</f>
        <v>9615</v>
      </c>
      <c r="E16" t="s">
        <v>66</v>
      </c>
      <c r="F16" t="str">
        <f>HYPERLINK("http://www.ncbi.nlm.nih.gov/Taxonomy/Browser/wwwtax.cgi?mode=Info&amp;id=9615&amp;lvl=3&amp;lin=f&amp;keep=1&amp;srchmode=1&amp;unlock","Canis lupus familiaris")</f>
        <v>Canis lupus familiaris</v>
      </c>
      <c r="G16" t="s">
        <v>84</v>
      </c>
      <c r="H16" t="str">
        <f>HYPERLINK("http://www.ncbi.nlm.nih.gov/protein/QJS40032.1","angiotensin I converting enzyme 2")</f>
        <v>angiotensin I converting enzyme 2</v>
      </c>
      <c r="I16" t="s">
        <v>154</v>
      </c>
      <c r="J16" t="s">
        <v>153</v>
      </c>
      <c r="K16">
        <v>26</v>
      </c>
      <c r="L16" t="s">
        <v>149</v>
      </c>
      <c r="M16" t="s">
        <v>69</v>
      </c>
      <c r="N16" t="s">
        <v>150</v>
      </c>
      <c r="O16" t="s">
        <v>69</v>
      </c>
      <c r="P16">
        <v>119.119</v>
      </c>
      <c r="Q16" t="s">
        <v>69</v>
      </c>
      <c r="R16" t="s">
        <v>69</v>
      </c>
      <c r="S16">
        <v>27</v>
      </c>
      <c r="T16" t="s">
        <v>151</v>
      </c>
      <c r="U16" t="s">
        <v>69</v>
      </c>
      <c r="V16" t="s">
        <v>152</v>
      </c>
      <c r="W16" t="s">
        <v>69</v>
      </c>
      <c r="X16">
        <v>165.19200000000001</v>
      </c>
      <c r="Y16" t="s">
        <v>69</v>
      </c>
      <c r="Z16" t="s">
        <v>69</v>
      </c>
      <c r="AA16">
        <v>33</v>
      </c>
      <c r="AB16" t="s">
        <v>69</v>
      </c>
      <c r="AC16" t="s">
        <v>153</v>
      </c>
      <c r="AD16" t="s">
        <v>152</v>
      </c>
      <c r="AE16" t="s">
        <v>153</v>
      </c>
      <c r="AF16">
        <v>181.191</v>
      </c>
      <c r="AG16" t="s">
        <v>69</v>
      </c>
      <c r="AH16" t="s">
        <v>69</v>
      </c>
      <c r="AI16">
        <v>36</v>
      </c>
      <c r="AJ16" t="s">
        <v>119</v>
      </c>
      <c r="AK16" t="s">
        <v>69</v>
      </c>
      <c r="AL16" t="s">
        <v>120</v>
      </c>
      <c r="AM16" t="s">
        <v>69</v>
      </c>
      <c r="AN16">
        <v>147.131</v>
      </c>
      <c r="AO16" t="s">
        <v>69</v>
      </c>
      <c r="AP16" t="s">
        <v>69</v>
      </c>
      <c r="AQ16">
        <v>44</v>
      </c>
      <c r="AR16" t="s">
        <v>72</v>
      </c>
      <c r="AS16" t="s">
        <v>69</v>
      </c>
      <c r="AT16" t="s">
        <v>71</v>
      </c>
      <c r="AU16" t="s">
        <v>69</v>
      </c>
      <c r="AV16">
        <v>131.17500000000001</v>
      </c>
      <c r="AW16" t="s">
        <v>69</v>
      </c>
      <c r="AX16" t="s">
        <v>69</v>
      </c>
      <c r="AY16">
        <v>78</v>
      </c>
      <c r="AZ16" t="s">
        <v>72</v>
      </c>
      <c r="BA16" t="s">
        <v>69</v>
      </c>
      <c r="BB16" t="s">
        <v>71</v>
      </c>
      <c r="BC16" t="s">
        <v>69</v>
      </c>
      <c r="BD16">
        <v>131.17500000000001</v>
      </c>
      <c r="BE16" t="s">
        <v>69</v>
      </c>
      <c r="BF16" t="s">
        <v>69</v>
      </c>
      <c r="BG16">
        <v>81</v>
      </c>
      <c r="BH16" t="s">
        <v>149</v>
      </c>
      <c r="BI16" t="s">
        <v>153</v>
      </c>
      <c r="BJ16" t="s">
        <v>150</v>
      </c>
      <c r="BK16" t="s">
        <v>153</v>
      </c>
      <c r="BL16">
        <v>119.119</v>
      </c>
      <c r="BM16" t="s">
        <v>153</v>
      </c>
      <c r="BN16" t="s">
        <v>153</v>
      </c>
      <c r="BO16">
        <v>329</v>
      </c>
      <c r="BP16" t="s">
        <v>153</v>
      </c>
      <c r="BQ16" t="s">
        <v>69</v>
      </c>
      <c r="BR16" t="s">
        <v>148</v>
      </c>
      <c r="BS16" t="s">
        <v>69</v>
      </c>
      <c r="BT16">
        <v>132.119</v>
      </c>
      <c r="BU16" t="s">
        <v>69</v>
      </c>
      <c r="BV16" t="s">
        <v>69</v>
      </c>
      <c r="BW16">
        <v>353</v>
      </c>
      <c r="BX16" t="s">
        <v>70</v>
      </c>
      <c r="BY16" t="s">
        <v>69</v>
      </c>
      <c r="BZ16" t="s">
        <v>71</v>
      </c>
      <c r="CA16" t="s">
        <v>69</v>
      </c>
      <c r="CB16">
        <v>75.066999999999993</v>
      </c>
      <c r="CC16" t="s">
        <v>69</v>
      </c>
      <c r="CD16" t="s">
        <v>69</v>
      </c>
      <c r="CE16">
        <v>354</v>
      </c>
      <c r="CF16" t="s">
        <v>156</v>
      </c>
      <c r="CG16" t="s">
        <v>69</v>
      </c>
      <c r="CH16" t="s">
        <v>120</v>
      </c>
      <c r="CI16" t="s">
        <v>69</v>
      </c>
      <c r="CJ16">
        <v>133.10400000000001</v>
      </c>
      <c r="CK16" t="s">
        <v>69</v>
      </c>
      <c r="CL16" t="s">
        <v>69</v>
      </c>
      <c r="CM16">
        <v>356</v>
      </c>
      <c r="CN16" t="s">
        <v>74</v>
      </c>
      <c r="CO16" t="s">
        <v>69</v>
      </c>
      <c r="CP16" t="s">
        <v>75</v>
      </c>
      <c r="CQ16" t="s">
        <v>69</v>
      </c>
      <c r="CR16">
        <v>174.203</v>
      </c>
      <c r="CS16" t="s">
        <v>69</v>
      </c>
      <c r="CT16" t="s">
        <v>69</v>
      </c>
      <c r="CU16">
        <v>392</v>
      </c>
      <c r="CV16" t="s">
        <v>74</v>
      </c>
      <c r="CW16" t="s">
        <v>69</v>
      </c>
      <c r="CX16" t="s">
        <v>75</v>
      </c>
      <c r="CY16" t="s">
        <v>69</v>
      </c>
      <c r="CZ16">
        <v>174.203</v>
      </c>
      <c r="DA16" t="s">
        <v>69</v>
      </c>
      <c r="DB16" t="s">
        <v>69</v>
      </c>
    </row>
    <row r="17" spans="1:106" x14ac:dyDescent="0.25">
      <c r="A17">
        <v>7</v>
      </c>
      <c r="B17" t="str">
        <f>HYPERLINK("http://www.ncbi.nlm.nih.gov/protein/XP_017505752.1","XP_017505752.1")</f>
        <v>XP_017505752.1</v>
      </c>
      <c r="C17">
        <v>56064</v>
      </c>
      <c r="D17" t="str">
        <f>HYPERLINK("http://www.ncbi.nlm.nih.gov/Taxonomy/Browser/wwwtax.cgi?mode=Info&amp;id=9974&amp;lvl=3&amp;lin=f&amp;keep=1&amp;srchmode=1&amp;unlock","9974")</f>
        <v>9974</v>
      </c>
      <c r="E17" t="s">
        <v>66</v>
      </c>
      <c r="F17" t="str">
        <f>HYPERLINK("http://www.ncbi.nlm.nih.gov/Taxonomy/Browser/wwwtax.cgi?mode=Info&amp;id=9974&amp;lvl=3&amp;lin=f&amp;keep=1&amp;srchmode=1&amp;unlock","Manis javanica")</f>
        <v>Manis javanica</v>
      </c>
      <c r="G17" t="s">
        <v>100</v>
      </c>
      <c r="H17" t="str">
        <f>HYPERLINK("http://www.ncbi.nlm.nih.gov/protein/XP_017505752.1","angiotensin-converting enzyme 2")</f>
        <v>angiotensin-converting enzyme 2</v>
      </c>
      <c r="I17" t="s">
        <v>154</v>
      </c>
      <c r="J17" t="s">
        <v>153</v>
      </c>
      <c r="K17">
        <v>27</v>
      </c>
      <c r="L17" t="s">
        <v>149</v>
      </c>
      <c r="M17" t="s">
        <v>69</v>
      </c>
      <c r="N17" t="s">
        <v>150</v>
      </c>
      <c r="O17" t="s">
        <v>69</v>
      </c>
      <c r="P17">
        <v>119.119</v>
      </c>
      <c r="Q17" t="s">
        <v>69</v>
      </c>
      <c r="R17" t="s">
        <v>69</v>
      </c>
      <c r="S17">
        <v>28</v>
      </c>
      <c r="T17" t="s">
        <v>151</v>
      </c>
      <c r="U17" t="s">
        <v>69</v>
      </c>
      <c r="V17" t="s">
        <v>152</v>
      </c>
      <c r="W17" t="s">
        <v>69</v>
      </c>
      <c r="X17">
        <v>165.19200000000001</v>
      </c>
      <c r="Y17" t="s">
        <v>69</v>
      </c>
      <c r="Z17" t="s">
        <v>69</v>
      </c>
      <c r="AA17">
        <v>34</v>
      </c>
      <c r="AB17" t="s">
        <v>155</v>
      </c>
      <c r="AC17" t="s">
        <v>153</v>
      </c>
      <c r="AD17" t="s">
        <v>150</v>
      </c>
      <c r="AE17" t="s">
        <v>153</v>
      </c>
      <c r="AF17">
        <v>105.093</v>
      </c>
      <c r="AG17" t="s">
        <v>153</v>
      </c>
      <c r="AH17" t="s">
        <v>153</v>
      </c>
      <c r="AI17">
        <v>37</v>
      </c>
      <c r="AJ17" t="s">
        <v>119</v>
      </c>
      <c r="AK17" t="s">
        <v>69</v>
      </c>
      <c r="AL17" t="s">
        <v>120</v>
      </c>
      <c r="AM17" t="s">
        <v>69</v>
      </c>
      <c r="AN17">
        <v>147.131</v>
      </c>
      <c r="AO17" t="s">
        <v>69</v>
      </c>
      <c r="AP17" t="s">
        <v>69</v>
      </c>
      <c r="AQ17">
        <v>45</v>
      </c>
      <c r="AR17" t="s">
        <v>72</v>
      </c>
      <c r="AS17" t="s">
        <v>69</v>
      </c>
      <c r="AT17" t="s">
        <v>71</v>
      </c>
      <c r="AU17" t="s">
        <v>69</v>
      </c>
      <c r="AV17">
        <v>131.17500000000001</v>
      </c>
      <c r="AW17" t="s">
        <v>69</v>
      </c>
      <c r="AX17" t="s">
        <v>69</v>
      </c>
      <c r="AY17">
        <v>79</v>
      </c>
      <c r="AZ17" t="s">
        <v>145</v>
      </c>
      <c r="BA17" t="s">
        <v>153</v>
      </c>
      <c r="BB17" t="s">
        <v>71</v>
      </c>
      <c r="BC17" t="s">
        <v>69</v>
      </c>
      <c r="BD17">
        <v>131.17500000000001</v>
      </c>
      <c r="BE17" t="s">
        <v>69</v>
      </c>
      <c r="BF17" t="s">
        <v>69</v>
      </c>
      <c r="BG17">
        <v>82</v>
      </c>
      <c r="BH17" t="s">
        <v>153</v>
      </c>
      <c r="BI17" t="s">
        <v>153</v>
      </c>
      <c r="BJ17" t="s">
        <v>148</v>
      </c>
      <c r="BK17" t="s">
        <v>153</v>
      </c>
      <c r="BL17">
        <v>132.119</v>
      </c>
      <c r="BM17" t="s">
        <v>69</v>
      </c>
      <c r="BN17" t="s">
        <v>69</v>
      </c>
      <c r="BO17">
        <v>330</v>
      </c>
      <c r="BP17" t="s">
        <v>153</v>
      </c>
      <c r="BQ17" t="s">
        <v>69</v>
      </c>
      <c r="BR17" t="s">
        <v>148</v>
      </c>
      <c r="BS17" t="s">
        <v>69</v>
      </c>
      <c r="BT17">
        <v>132.119</v>
      </c>
      <c r="BU17" t="s">
        <v>69</v>
      </c>
      <c r="BV17" t="s">
        <v>69</v>
      </c>
      <c r="BW17">
        <v>354</v>
      </c>
      <c r="BX17" t="s">
        <v>157</v>
      </c>
      <c r="BY17" t="s">
        <v>153</v>
      </c>
      <c r="BZ17" t="s">
        <v>75</v>
      </c>
      <c r="CA17" t="s">
        <v>153</v>
      </c>
      <c r="CB17">
        <v>155.15600000000001</v>
      </c>
      <c r="CC17" t="s">
        <v>153</v>
      </c>
      <c r="CD17" t="s">
        <v>153</v>
      </c>
      <c r="CE17">
        <v>355</v>
      </c>
      <c r="CF17" t="s">
        <v>156</v>
      </c>
      <c r="CG17" t="s">
        <v>69</v>
      </c>
      <c r="CH17" t="s">
        <v>120</v>
      </c>
      <c r="CI17" t="s">
        <v>69</v>
      </c>
      <c r="CJ17">
        <v>133.10400000000001</v>
      </c>
      <c r="CK17" t="s">
        <v>69</v>
      </c>
      <c r="CL17" t="s">
        <v>69</v>
      </c>
      <c r="CM17">
        <v>357</v>
      </c>
      <c r="CN17" t="s">
        <v>74</v>
      </c>
      <c r="CO17" t="s">
        <v>69</v>
      </c>
      <c r="CP17" t="s">
        <v>75</v>
      </c>
      <c r="CQ17" t="s">
        <v>69</v>
      </c>
      <c r="CR17">
        <v>174.203</v>
      </c>
      <c r="CS17" t="s">
        <v>69</v>
      </c>
      <c r="CT17" t="s">
        <v>69</v>
      </c>
      <c r="CU17">
        <v>393</v>
      </c>
      <c r="CV17" t="s">
        <v>74</v>
      </c>
      <c r="CW17" t="s">
        <v>69</v>
      </c>
      <c r="CX17" t="s">
        <v>75</v>
      </c>
      <c r="CY17" t="s">
        <v>69</v>
      </c>
      <c r="CZ17">
        <v>174.203</v>
      </c>
      <c r="DA17" t="s">
        <v>69</v>
      </c>
      <c r="DB17" t="s">
        <v>69</v>
      </c>
    </row>
    <row r="18" spans="1:106" x14ac:dyDescent="0.25">
      <c r="A18">
        <v>7</v>
      </c>
      <c r="B18" t="str">
        <f>HYPERLINK("http://www.ncbi.nlm.nih.gov/protein/XP_006973269.1","XP_006973269.1")</f>
        <v>XP_006973269.1</v>
      </c>
      <c r="C18">
        <v>54287</v>
      </c>
      <c r="D18" t="str">
        <f>HYPERLINK("http://www.ncbi.nlm.nih.gov/Taxonomy/Browser/wwwtax.cgi?mode=Info&amp;id=230844&amp;lvl=3&amp;lin=f&amp;keep=1&amp;srchmode=1&amp;unlock","230844")</f>
        <v>230844</v>
      </c>
      <c r="E18" t="s">
        <v>66</v>
      </c>
      <c r="F18" t="str">
        <f>HYPERLINK("http://www.ncbi.nlm.nih.gov/Taxonomy/Browser/wwwtax.cgi?mode=Info&amp;id=230844&amp;lvl=3&amp;lin=f&amp;keep=1&amp;srchmode=1&amp;unlock","Peromyscus maniculatus bairdii")</f>
        <v>Peromyscus maniculatus bairdii</v>
      </c>
      <c r="G18" t="s">
        <v>88</v>
      </c>
      <c r="H18" t="str">
        <f>HYPERLINK("http://www.ncbi.nlm.nih.gov/protein/XP_006973269.1","angiotensin-converting enzyme 2")</f>
        <v>angiotensin-converting enzyme 2</v>
      </c>
      <c r="I18" t="s">
        <v>154</v>
      </c>
      <c r="J18" t="s">
        <v>69</v>
      </c>
      <c r="K18">
        <v>27</v>
      </c>
      <c r="L18" t="s">
        <v>145</v>
      </c>
      <c r="M18" t="s">
        <v>153</v>
      </c>
      <c r="N18" t="s">
        <v>71</v>
      </c>
      <c r="O18" t="s">
        <v>153</v>
      </c>
      <c r="P18">
        <v>131.17500000000001</v>
      </c>
      <c r="Q18" t="s">
        <v>69</v>
      </c>
      <c r="R18" t="s">
        <v>69</v>
      </c>
      <c r="S18">
        <v>28</v>
      </c>
      <c r="T18" t="s">
        <v>151</v>
      </c>
      <c r="U18" t="s">
        <v>69</v>
      </c>
      <c r="V18" t="s">
        <v>152</v>
      </c>
      <c r="W18" t="s">
        <v>69</v>
      </c>
      <c r="X18">
        <v>165.19200000000001</v>
      </c>
      <c r="Y18" t="s">
        <v>69</v>
      </c>
      <c r="Z18" t="s">
        <v>69</v>
      </c>
      <c r="AA18">
        <v>34</v>
      </c>
      <c r="AB18" t="s">
        <v>147</v>
      </c>
      <c r="AC18" t="s">
        <v>153</v>
      </c>
      <c r="AD18" t="s">
        <v>148</v>
      </c>
      <c r="AE18" t="s">
        <v>153</v>
      </c>
      <c r="AF18">
        <v>146.14599999999999</v>
      </c>
      <c r="AG18" t="s">
        <v>69</v>
      </c>
      <c r="AH18" t="s">
        <v>69</v>
      </c>
      <c r="AI18">
        <v>37</v>
      </c>
      <c r="AJ18" t="s">
        <v>119</v>
      </c>
      <c r="AK18" t="s">
        <v>69</v>
      </c>
      <c r="AL18" t="s">
        <v>120</v>
      </c>
      <c r="AM18" t="s">
        <v>69</v>
      </c>
      <c r="AN18">
        <v>147.131</v>
      </c>
      <c r="AO18" t="s">
        <v>69</v>
      </c>
      <c r="AP18" t="s">
        <v>69</v>
      </c>
      <c r="AQ18">
        <v>45</v>
      </c>
      <c r="AR18" t="s">
        <v>72</v>
      </c>
      <c r="AS18" t="s">
        <v>69</v>
      </c>
      <c r="AT18" t="s">
        <v>71</v>
      </c>
      <c r="AU18" t="s">
        <v>69</v>
      </c>
      <c r="AV18">
        <v>131.17500000000001</v>
      </c>
      <c r="AW18" t="s">
        <v>69</v>
      </c>
      <c r="AX18" t="s">
        <v>69</v>
      </c>
      <c r="AY18">
        <v>79</v>
      </c>
      <c r="AZ18" t="s">
        <v>72</v>
      </c>
      <c r="BA18" t="s">
        <v>69</v>
      </c>
      <c r="BB18" t="s">
        <v>71</v>
      </c>
      <c r="BC18" t="s">
        <v>69</v>
      </c>
      <c r="BD18">
        <v>131.17500000000001</v>
      </c>
      <c r="BE18" t="s">
        <v>69</v>
      </c>
      <c r="BF18" t="s">
        <v>69</v>
      </c>
      <c r="BG18">
        <v>82</v>
      </c>
      <c r="BH18" t="s">
        <v>153</v>
      </c>
      <c r="BI18" t="s">
        <v>153</v>
      </c>
      <c r="BJ18" t="s">
        <v>148</v>
      </c>
      <c r="BK18" t="s">
        <v>153</v>
      </c>
      <c r="BL18">
        <v>132.119</v>
      </c>
      <c r="BM18" t="s">
        <v>69</v>
      </c>
      <c r="BN18" t="s">
        <v>69</v>
      </c>
      <c r="BO18">
        <v>330</v>
      </c>
      <c r="BP18" t="s">
        <v>153</v>
      </c>
      <c r="BQ18" t="s">
        <v>69</v>
      </c>
      <c r="BR18" t="s">
        <v>148</v>
      </c>
      <c r="BS18" t="s">
        <v>69</v>
      </c>
      <c r="BT18">
        <v>132.119</v>
      </c>
      <c r="BU18" t="s">
        <v>69</v>
      </c>
      <c r="BV18" t="s">
        <v>69</v>
      </c>
      <c r="BW18">
        <v>354</v>
      </c>
      <c r="BX18" t="s">
        <v>70</v>
      </c>
      <c r="BY18" t="s">
        <v>69</v>
      </c>
      <c r="BZ18" t="s">
        <v>71</v>
      </c>
      <c r="CA18" t="s">
        <v>69</v>
      </c>
      <c r="CB18">
        <v>75.066999999999993</v>
      </c>
      <c r="CC18" t="s">
        <v>69</v>
      </c>
      <c r="CD18" t="s">
        <v>69</v>
      </c>
      <c r="CE18">
        <v>355</v>
      </c>
      <c r="CF18" t="s">
        <v>156</v>
      </c>
      <c r="CG18" t="s">
        <v>69</v>
      </c>
      <c r="CH18" t="s">
        <v>120</v>
      </c>
      <c r="CI18" t="s">
        <v>69</v>
      </c>
      <c r="CJ18">
        <v>133.10400000000001</v>
      </c>
      <c r="CK18" t="s">
        <v>69</v>
      </c>
      <c r="CL18" t="s">
        <v>69</v>
      </c>
      <c r="CM18">
        <v>357</v>
      </c>
      <c r="CN18" t="s">
        <v>74</v>
      </c>
      <c r="CO18" t="s">
        <v>69</v>
      </c>
      <c r="CP18" t="s">
        <v>75</v>
      </c>
      <c r="CQ18" t="s">
        <v>69</v>
      </c>
      <c r="CR18">
        <v>174.203</v>
      </c>
      <c r="CS18" t="s">
        <v>69</v>
      </c>
      <c r="CT18" t="s">
        <v>69</v>
      </c>
      <c r="CU18">
        <v>393</v>
      </c>
      <c r="CV18" t="s">
        <v>74</v>
      </c>
      <c r="CW18" t="s">
        <v>69</v>
      </c>
      <c r="CX18" t="s">
        <v>75</v>
      </c>
      <c r="CY18" t="s">
        <v>69</v>
      </c>
      <c r="CZ18">
        <v>174.203</v>
      </c>
      <c r="DA18" t="s">
        <v>69</v>
      </c>
      <c r="DB18" t="s">
        <v>69</v>
      </c>
    </row>
    <row r="19" spans="1:106" x14ac:dyDescent="0.25">
      <c r="A19">
        <v>7</v>
      </c>
      <c r="B19" t="str">
        <f>HYPERLINK("http://www.ncbi.nlm.nih.gov/protein/XP_020935033.1","XP_020935033.1")</f>
        <v>XP_020935033.1</v>
      </c>
      <c r="C19">
        <v>86952</v>
      </c>
      <c r="D19" t="str">
        <f>HYPERLINK("http://www.ncbi.nlm.nih.gov/Taxonomy/Browser/wwwtax.cgi?mode=Info&amp;id=9823&amp;lvl=3&amp;lin=f&amp;keep=1&amp;srchmode=1&amp;unlock","9823")</f>
        <v>9823</v>
      </c>
      <c r="E19" t="s">
        <v>66</v>
      </c>
      <c r="F19" t="str">
        <f>HYPERLINK("http://www.ncbi.nlm.nih.gov/Taxonomy/Browser/wwwtax.cgi?mode=Info&amp;id=9823&amp;lvl=3&amp;lin=f&amp;keep=1&amp;srchmode=1&amp;unlock","Sus scrofa")</f>
        <v>Sus scrofa</v>
      </c>
      <c r="G19" t="s">
        <v>85</v>
      </c>
      <c r="H19" t="str">
        <f>HYPERLINK("http://www.ncbi.nlm.nih.gov/protein/XP_020935033.1","angiotensin-converting enzyme 2 isoform X1")</f>
        <v>angiotensin-converting enzyme 2 isoform X1</v>
      </c>
      <c r="I19" t="s">
        <v>154</v>
      </c>
      <c r="J19" t="s">
        <v>153</v>
      </c>
      <c r="K19">
        <v>27</v>
      </c>
      <c r="L19" t="s">
        <v>149</v>
      </c>
      <c r="M19" t="s">
        <v>69</v>
      </c>
      <c r="N19" t="s">
        <v>150</v>
      </c>
      <c r="O19" t="s">
        <v>69</v>
      </c>
      <c r="P19">
        <v>119.119</v>
      </c>
      <c r="Q19" t="s">
        <v>69</v>
      </c>
      <c r="R19" t="s">
        <v>69</v>
      </c>
      <c r="S19">
        <v>28</v>
      </c>
      <c r="T19" t="s">
        <v>151</v>
      </c>
      <c r="U19" t="s">
        <v>69</v>
      </c>
      <c r="V19" t="s">
        <v>152</v>
      </c>
      <c r="W19" t="s">
        <v>69</v>
      </c>
      <c r="X19">
        <v>165.19200000000001</v>
      </c>
      <c r="Y19" t="s">
        <v>69</v>
      </c>
      <c r="Z19" t="s">
        <v>69</v>
      </c>
      <c r="AA19">
        <v>34</v>
      </c>
      <c r="AB19" t="s">
        <v>72</v>
      </c>
      <c r="AC19" t="s">
        <v>153</v>
      </c>
      <c r="AD19" t="s">
        <v>71</v>
      </c>
      <c r="AE19" t="s">
        <v>153</v>
      </c>
      <c r="AF19">
        <v>131.17500000000001</v>
      </c>
      <c r="AG19" t="s">
        <v>69</v>
      </c>
      <c r="AH19" t="s">
        <v>69</v>
      </c>
      <c r="AI19">
        <v>37</v>
      </c>
      <c r="AJ19" t="s">
        <v>119</v>
      </c>
      <c r="AK19" t="s">
        <v>69</v>
      </c>
      <c r="AL19" t="s">
        <v>120</v>
      </c>
      <c r="AM19" t="s">
        <v>69</v>
      </c>
      <c r="AN19">
        <v>147.131</v>
      </c>
      <c r="AO19" t="s">
        <v>69</v>
      </c>
      <c r="AP19" t="s">
        <v>69</v>
      </c>
      <c r="AQ19">
        <v>45</v>
      </c>
      <c r="AR19" t="s">
        <v>72</v>
      </c>
      <c r="AS19" t="s">
        <v>69</v>
      </c>
      <c r="AT19" t="s">
        <v>71</v>
      </c>
      <c r="AU19" t="s">
        <v>69</v>
      </c>
      <c r="AV19">
        <v>131.17500000000001</v>
      </c>
      <c r="AW19" t="s">
        <v>69</v>
      </c>
      <c r="AX19" t="s">
        <v>69</v>
      </c>
      <c r="AY19">
        <v>79</v>
      </c>
      <c r="AZ19" t="s">
        <v>145</v>
      </c>
      <c r="BA19" t="s">
        <v>153</v>
      </c>
      <c r="BB19" t="s">
        <v>71</v>
      </c>
      <c r="BC19" t="s">
        <v>69</v>
      </c>
      <c r="BD19">
        <v>131.17500000000001</v>
      </c>
      <c r="BE19" t="s">
        <v>69</v>
      </c>
      <c r="BF19" t="s">
        <v>69</v>
      </c>
      <c r="BG19">
        <v>82</v>
      </c>
      <c r="BH19" t="s">
        <v>149</v>
      </c>
      <c r="BI19" t="s">
        <v>153</v>
      </c>
      <c r="BJ19" t="s">
        <v>150</v>
      </c>
      <c r="BK19" t="s">
        <v>153</v>
      </c>
      <c r="BL19">
        <v>119.119</v>
      </c>
      <c r="BM19" t="s">
        <v>153</v>
      </c>
      <c r="BN19" t="s">
        <v>153</v>
      </c>
      <c r="BO19">
        <v>330</v>
      </c>
      <c r="BP19" t="s">
        <v>153</v>
      </c>
      <c r="BQ19" t="s">
        <v>69</v>
      </c>
      <c r="BR19" t="s">
        <v>148</v>
      </c>
      <c r="BS19" t="s">
        <v>69</v>
      </c>
      <c r="BT19">
        <v>132.119</v>
      </c>
      <c r="BU19" t="s">
        <v>69</v>
      </c>
      <c r="BV19" t="s">
        <v>69</v>
      </c>
      <c r="BW19">
        <v>354</v>
      </c>
      <c r="BX19" t="s">
        <v>70</v>
      </c>
      <c r="BY19" t="s">
        <v>69</v>
      </c>
      <c r="BZ19" t="s">
        <v>71</v>
      </c>
      <c r="CA19" t="s">
        <v>69</v>
      </c>
      <c r="CB19">
        <v>75.066999999999993</v>
      </c>
      <c r="CC19" t="s">
        <v>69</v>
      </c>
      <c r="CD19" t="s">
        <v>69</v>
      </c>
      <c r="CE19">
        <v>355</v>
      </c>
      <c r="CF19" t="s">
        <v>156</v>
      </c>
      <c r="CG19" t="s">
        <v>69</v>
      </c>
      <c r="CH19" t="s">
        <v>120</v>
      </c>
      <c r="CI19" t="s">
        <v>69</v>
      </c>
      <c r="CJ19">
        <v>133.10400000000001</v>
      </c>
      <c r="CK19" t="s">
        <v>69</v>
      </c>
      <c r="CL19" t="s">
        <v>69</v>
      </c>
      <c r="CM19">
        <v>357</v>
      </c>
      <c r="CN19" t="s">
        <v>74</v>
      </c>
      <c r="CO19" t="s">
        <v>69</v>
      </c>
      <c r="CP19" t="s">
        <v>75</v>
      </c>
      <c r="CQ19" t="s">
        <v>69</v>
      </c>
      <c r="CR19">
        <v>174.203</v>
      </c>
      <c r="CS19" t="s">
        <v>69</v>
      </c>
      <c r="CT19" t="s">
        <v>69</v>
      </c>
      <c r="CU19">
        <v>393</v>
      </c>
      <c r="CV19" t="s">
        <v>74</v>
      </c>
      <c r="CW19" t="s">
        <v>69</v>
      </c>
      <c r="CX19" t="s">
        <v>75</v>
      </c>
      <c r="CY19" t="s">
        <v>69</v>
      </c>
      <c r="CZ19">
        <v>174.203</v>
      </c>
      <c r="DA19" t="s">
        <v>69</v>
      </c>
      <c r="DB19" t="s">
        <v>69</v>
      </c>
    </row>
    <row r="20" spans="1:106" x14ac:dyDescent="0.25">
      <c r="A20">
        <v>7</v>
      </c>
      <c r="B20" t="str">
        <f>HYPERLINK("http://www.ncbi.nlm.nih.gov/protein/XP_044091952.1","XP_044091952.1")</f>
        <v>XP_044091952.1</v>
      </c>
      <c r="C20">
        <v>44640</v>
      </c>
      <c r="D20" t="str">
        <f>HYPERLINK("http://www.ncbi.nlm.nih.gov/Taxonomy/Browser/wwwtax.cgi?mode=Info&amp;id=452646&amp;lvl=3&amp;lin=f&amp;keep=1&amp;srchmode=1&amp;unlock","452646")</f>
        <v>452646</v>
      </c>
      <c r="E20" t="s">
        <v>66</v>
      </c>
      <c r="F20" t="str">
        <f>HYPERLINK("http://www.ncbi.nlm.nih.gov/Taxonomy/Browser/wwwtax.cgi?mode=Info&amp;id=452646&amp;lvl=3&amp;lin=f&amp;keep=1&amp;srchmode=1&amp;unlock","Neogale vison")</f>
        <v>Neogale vison</v>
      </c>
      <c r="G20" t="s">
        <v>96</v>
      </c>
      <c r="H20" t="str">
        <f>HYPERLINK("http://www.ncbi.nlm.nih.gov/protein/XP_044091952.1","angiotensin-converting enzyme 2")</f>
        <v>angiotensin-converting enzyme 2</v>
      </c>
      <c r="I20" t="s">
        <v>154</v>
      </c>
      <c r="J20" t="s">
        <v>153</v>
      </c>
      <c r="K20">
        <v>27</v>
      </c>
      <c r="L20" t="s">
        <v>149</v>
      </c>
      <c r="M20" t="s">
        <v>69</v>
      </c>
      <c r="N20" t="s">
        <v>150</v>
      </c>
      <c r="O20" t="s">
        <v>69</v>
      </c>
      <c r="P20">
        <v>119.119</v>
      </c>
      <c r="Q20" t="s">
        <v>69</v>
      </c>
      <c r="R20" t="s">
        <v>69</v>
      </c>
      <c r="S20">
        <v>28</v>
      </c>
      <c r="T20" t="s">
        <v>151</v>
      </c>
      <c r="U20" t="s">
        <v>69</v>
      </c>
      <c r="V20" t="s">
        <v>152</v>
      </c>
      <c r="W20" t="s">
        <v>69</v>
      </c>
      <c r="X20">
        <v>165.19200000000001</v>
      </c>
      <c r="Y20" t="s">
        <v>69</v>
      </c>
      <c r="Z20" t="s">
        <v>69</v>
      </c>
      <c r="AA20">
        <v>34</v>
      </c>
      <c r="AB20" t="s">
        <v>69</v>
      </c>
      <c r="AC20" t="s">
        <v>153</v>
      </c>
      <c r="AD20" t="s">
        <v>152</v>
      </c>
      <c r="AE20" t="s">
        <v>153</v>
      </c>
      <c r="AF20">
        <v>181.191</v>
      </c>
      <c r="AG20" t="s">
        <v>69</v>
      </c>
      <c r="AH20" t="s">
        <v>69</v>
      </c>
      <c r="AI20">
        <v>37</v>
      </c>
      <c r="AJ20" t="s">
        <v>119</v>
      </c>
      <c r="AK20" t="s">
        <v>69</v>
      </c>
      <c r="AL20" t="s">
        <v>120</v>
      </c>
      <c r="AM20" t="s">
        <v>69</v>
      </c>
      <c r="AN20">
        <v>147.131</v>
      </c>
      <c r="AO20" t="s">
        <v>69</v>
      </c>
      <c r="AP20" t="s">
        <v>69</v>
      </c>
      <c r="AQ20">
        <v>45</v>
      </c>
      <c r="AR20" t="s">
        <v>72</v>
      </c>
      <c r="AS20" t="s">
        <v>69</v>
      </c>
      <c r="AT20" t="s">
        <v>71</v>
      </c>
      <c r="AU20" t="s">
        <v>69</v>
      </c>
      <c r="AV20">
        <v>131.17500000000001</v>
      </c>
      <c r="AW20" t="s">
        <v>69</v>
      </c>
      <c r="AX20" t="s">
        <v>69</v>
      </c>
      <c r="AY20">
        <v>79</v>
      </c>
      <c r="AZ20" t="s">
        <v>157</v>
      </c>
      <c r="BA20" t="s">
        <v>153</v>
      </c>
      <c r="BB20" t="s">
        <v>75</v>
      </c>
      <c r="BC20" t="s">
        <v>153</v>
      </c>
      <c r="BD20">
        <v>155.15600000000001</v>
      </c>
      <c r="BE20" t="s">
        <v>69</v>
      </c>
      <c r="BF20" t="s">
        <v>69</v>
      </c>
      <c r="BG20">
        <v>82</v>
      </c>
      <c r="BH20" t="s">
        <v>149</v>
      </c>
      <c r="BI20" t="s">
        <v>153</v>
      </c>
      <c r="BJ20" t="s">
        <v>150</v>
      </c>
      <c r="BK20" t="s">
        <v>153</v>
      </c>
      <c r="BL20">
        <v>119.119</v>
      </c>
      <c r="BM20" t="s">
        <v>153</v>
      </c>
      <c r="BN20" t="s">
        <v>153</v>
      </c>
      <c r="BO20">
        <v>330</v>
      </c>
      <c r="BP20" t="s">
        <v>153</v>
      </c>
      <c r="BQ20" t="s">
        <v>69</v>
      </c>
      <c r="BR20" t="s">
        <v>148</v>
      </c>
      <c r="BS20" t="s">
        <v>69</v>
      </c>
      <c r="BT20">
        <v>132.119</v>
      </c>
      <c r="BU20" t="s">
        <v>69</v>
      </c>
      <c r="BV20" t="s">
        <v>69</v>
      </c>
      <c r="BW20">
        <v>354</v>
      </c>
      <c r="BX20" t="s">
        <v>157</v>
      </c>
      <c r="BY20" t="s">
        <v>153</v>
      </c>
      <c r="BZ20" t="s">
        <v>75</v>
      </c>
      <c r="CA20" t="s">
        <v>153</v>
      </c>
      <c r="CB20">
        <v>155.15600000000001</v>
      </c>
      <c r="CC20" t="s">
        <v>153</v>
      </c>
      <c r="CD20" t="s">
        <v>153</v>
      </c>
      <c r="CE20">
        <v>355</v>
      </c>
      <c r="CF20" t="s">
        <v>156</v>
      </c>
      <c r="CG20" t="s">
        <v>69</v>
      </c>
      <c r="CH20" t="s">
        <v>120</v>
      </c>
      <c r="CI20" t="s">
        <v>69</v>
      </c>
      <c r="CJ20">
        <v>133.10400000000001</v>
      </c>
      <c r="CK20" t="s">
        <v>69</v>
      </c>
      <c r="CL20" t="s">
        <v>69</v>
      </c>
      <c r="CM20">
        <v>357</v>
      </c>
      <c r="CN20" t="s">
        <v>74</v>
      </c>
      <c r="CO20" t="s">
        <v>69</v>
      </c>
      <c r="CP20" t="s">
        <v>75</v>
      </c>
      <c r="CQ20" t="s">
        <v>69</v>
      </c>
      <c r="CR20">
        <v>174.203</v>
      </c>
      <c r="CS20" t="s">
        <v>69</v>
      </c>
      <c r="CT20" t="s">
        <v>69</v>
      </c>
      <c r="CU20">
        <v>393</v>
      </c>
      <c r="CV20" t="s">
        <v>74</v>
      </c>
      <c r="CW20" t="s">
        <v>69</v>
      </c>
      <c r="CX20" t="s">
        <v>75</v>
      </c>
      <c r="CY20" t="s">
        <v>69</v>
      </c>
      <c r="CZ20">
        <v>174.203</v>
      </c>
      <c r="DA20" t="s">
        <v>69</v>
      </c>
      <c r="DB20" t="s">
        <v>69</v>
      </c>
    </row>
    <row r="21" spans="1:106" x14ac:dyDescent="0.25">
      <c r="A21">
        <v>7</v>
      </c>
      <c r="B21" t="str">
        <f>HYPERLINK("http://www.ncbi.nlm.nih.gov/protein/XP_045850935.1","XP_045850935.1")</f>
        <v>XP_045850935.1</v>
      </c>
      <c r="C21">
        <v>50752</v>
      </c>
      <c r="D21" t="str">
        <f>HYPERLINK("http://www.ncbi.nlm.nih.gov/Taxonomy/Browser/wwwtax.cgi?mode=Info&amp;id=9662&amp;lvl=3&amp;lin=f&amp;keep=1&amp;srchmode=1&amp;unlock","9662")</f>
        <v>9662</v>
      </c>
      <c r="E21" t="s">
        <v>66</v>
      </c>
      <c r="F21" t="str">
        <f>HYPERLINK("http://www.ncbi.nlm.nih.gov/Taxonomy/Browser/wwwtax.cgi?mode=Info&amp;id=9662&amp;lvl=3&amp;lin=f&amp;keep=1&amp;srchmode=1&amp;unlock","Meles meles")</f>
        <v>Meles meles</v>
      </c>
      <c r="G21" t="s">
        <v>99</v>
      </c>
      <c r="H21" t="str">
        <f>HYPERLINK("http://www.ncbi.nlm.nih.gov/protein/XP_045850935.1","angiotensin-converting enzyme 2 isoform X2")</f>
        <v>angiotensin-converting enzyme 2 isoform X2</v>
      </c>
      <c r="I21" t="s">
        <v>154</v>
      </c>
      <c r="J21" t="s">
        <v>153</v>
      </c>
      <c r="K21">
        <v>27</v>
      </c>
      <c r="L21" t="s">
        <v>149</v>
      </c>
      <c r="M21" t="s">
        <v>69</v>
      </c>
      <c r="N21" t="s">
        <v>150</v>
      </c>
      <c r="O21" t="s">
        <v>69</v>
      </c>
      <c r="P21">
        <v>119.119</v>
      </c>
      <c r="Q21" t="s">
        <v>69</v>
      </c>
      <c r="R21" t="s">
        <v>69</v>
      </c>
      <c r="S21">
        <v>28</v>
      </c>
      <c r="T21" t="s">
        <v>151</v>
      </c>
      <c r="U21" t="s">
        <v>69</v>
      </c>
      <c r="V21" t="s">
        <v>152</v>
      </c>
      <c r="W21" t="s">
        <v>69</v>
      </c>
      <c r="X21">
        <v>165.19200000000001</v>
      </c>
      <c r="Y21" t="s">
        <v>69</v>
      </c>
      <c r="Z21" t="s">
        <v>69</v>
      </c>
      <c r="AA21">
        <v>34</v>
      </c>
      <c r="AB21" t="s">
        <v>157</v>
      </c>
      <c r="AC21" t="s">
        <v>69</v>
      </c>
      <c r="AD21" t="s">
        <v>75</v>
      </c>
      <c r="AE21" t="s">
        <v>69</v>
      </c>
      <c r="AF21">
        <v>155.15600000000001</v>
      </c>
      <c r="AG21" t="s">
        <v>69</v>
      </c>
      <c r="AH21" t="s">
        <v>69</v>
      </c>
      <c r="AI21">
        <v>37</v>
      </c>
      <c r="AJ21" t="s">
        <v>119</v>
      </c>
      <c r="AK21" t="s">
        <v>69</v>
      </c>
      <c r="AL21" t="s">
        <v>120</v>
      </c>
      <c r="AM21" t="s">
        <v>69</v>
      </c>
      <c r="AN21">
        <v>147.131</v>
      </c>
      <c r="AO21" t="s">
        <v>69</v>
      </c>
      <c r="AP21" t="s">
        <v>69</v>
      </c>
      <c r="AQ21">
        <v>45</v>
      </c>
      <c r="AR21" t="s">
        <v>72</v>
      </c>
      <c r="AS21" t="s">
        <v>69</v>
      </c>
      <c r="AT21" t="s">
        <v>71</v>
      </c>
      <c r="AU21" t="s">
        <v>69</v>
      </c>
      <c r="AV21">
        <v>131.17500000000001</v>
      </c>
      <c r="AW21" t="s">
        <v>69</v>
      </c>
      <c r="AX21" t="s">
        <v>69</v>
      </c>
      <c r="AY21">
        <v>79</v>
      </c>
      <c r="AZ21" t="s">
        <v>157</v>
      </c>
      <c r="BA21" t="s">
        <v>153</v>
      </c>
      <c r="BB21" t="s">
        <v>75</v>
      </c>
      <c r="BC21" t="s">
        <v>153</v>
      </c>
      <c r="BD21">
        <v>155.15600000000001</v>
      </c>
      <c r="BE21" t="s">
        <v>69</v>
      </c>
      <c r="BF21" t="s">
        <v>69</v>
      </c>
      <c r="BG21">
        <v>82</v>
      </c>
      <c r="BH21" t="s">
        <v>149</v>
      </c>
      <c r="BI21" t="s">
        <v>153</v>
      </c>
      <c r="BJ21" t="s">
        <v>150</v>
      </c>
      <c r="BK21" t="s">
        <v>153</v>
      </c>
      <c r="BL21">
        <v>119.119</v>
      </c>
      <c r="BM21" t="s">
        <v>153</v>
      </c>
      <c r="BN21" t="s">
        <v>153</v>
      </c>
      <c r="BO21">
        <v>330</v>
      </c>
      <c r="BP21" t="s">
        <v>153</v>
      </c>
      <c r="BQ21" t="s">
        <v>69</v>
      </c>
      <c r="BR21" t="s">
        <v>148</v>
      </c>
      <c r="BS21" t="s">
        <v>69</v>
      </c>
      <c r="BT21">
        <v>132.119</v>
      </c>
      <c r="BU21" t="s">
        <v>69</v>
      </c>
      <c r="BV21" t="s">
        <v>69</v>
      </c>
      <c r="BW21">
        <v>354</v>
      </c>
      <c r="BX21" t="s">
        <v>74</v>
      </c>
      <c r="BY21" t="s">
        <v>153</v>
      </c>
      <c r="BZ21" t="s">
        <v>75</v>
      </c>
      <c r="CA21" t="s">
        <v>153</v>
      </c>
      <c r="CB21">
        <v>174.203</v>
      </c>
      <c r="CC21" t="s">
        <v>153</v>
      </c>
      <c r="CD21" t="s">
        <v>153</v>
      </c>
      <c r="CE21">
        <v>355</v>
      </c>
      <c r="CF21" t="s">
        <v>156</v>
      </c>
      <c r="CG21" t="s">
        <v>69</v>
      </c>
      <c r="CH21" t="s">
        <v>120</v>
      </c>
      <c r="CI21" t="s">
        <v>69</v>
      </c>
      <c r="CJ21">
        <v>133.10400000000001</v>
      </c>
      <c r="CK21" t="s">
        <v>69</v>
      </c>
      <c r="CL21" t="s">
        <v>69</v>
      </c>
      <c r="CM21">
        <v>357</v>
      </c>
      <c r="CN21" t="s">
        <v>74</v>
      </c>
      <c r="CO21" t="s">
        <v>69</v>
      </c>
      <c r="CP21" t="s">
        <v>75</v>
      </c>
      <c r="CQ21" t="s">
        <v>69</v>
      </c>
      <c r="CR21">
        <v>174.203</v>
      </c>
      <c r="CS21" t="s">
        <v>69</v>
      </c>
      <c r="CT21" t="s">
        <v>69</v>
      </c>
      <c r="CU21">
        <v>393</v>
      </c>
      <c r="CV21" t="s">
        <v>74</v>
      </c>
      <c r="CW21" t="s">
        <v>69</v>
      </c>
      <c r="CX21" t="s">
        <v>75</v>
      </c>
      <c r="CY21" t="s">
        <v>69</v>
      </c>
      <c r="CZ21">
        <v>174.203</v>
      </c>
      <c r="DA21" t="s">
        <v>69</v>
      </c>
      <c r="DB21" t="s">
        <v>69</v>
      </c>
    </row>
    <row r="22" spans="1:106" x14ac:dyDescent="0.25">
      <c r="A22">
        <v>7</v>
      </c>
      <c r="B22" t="str">
        <f>HYPERLINK("http://www.ncbi.nlm.nih.gov/protein/BAE72462.1","BAE72462.1")</f>
        <v>BAE72462.1</v>
      </c>
      <c r="C22">
        <v>506</v>
      </c>
      <c r="D22" t="str">
        <f>HYPERLINK("http://www.ncbi.nlm.nih.gov/Taxonomy/Browser/wwwtax.cgi?mode=Info&amp;id=9654&amp;lvl=3&amp;lin=f&amp;keep=1&amp;srchmode=1&amp;unlock","9654")</f>
        <v>9654</v>
      </c>
      <c r="E22" t="s">
        <v>66</v>
      </c>
      <c r="F22" t="str">
        <f>HYPERLINK("http://www.ncbi.nlm.nih.gov/Taxonomy/Browser/wwwtax.cgi?mode=Info&amp;id=9654&amp;lvl=3&amp;lin=f&amp;keep=1&amp;srchmode=1&amp;unlock","Procyon lotor")</f>
        <v>Procyon lotor</v>
      </c>
      <c r="G22" t="s">
        <v>158</v>
      </c>
      <c r="H22" t="str">
        <f>HYPERLINK("http://www.ncbi.nlm.nih.gov/protein/BAE72462.1","angiotensin I converting enzyme 2")</f>
        <v>angiotensin I converting enzyme 2</v>
      </c>
      <c r="I22" t="s">
        <v>154</v>
      </c>
      <c r="J22" t="s">
        <v>153</v>
      </c>
      <c r="K22">
        <v>27</v>
      </c>
      <c r="L22" t="s">
        <v>149</v>
      </c>
      <c r="M22" t="s">
        <v>69</v>
      </c>
      <c r="N22" t="s">
        <v>150</v>
      </c>
      <c r="O22" t="s">
        <v>69</v>
      </c>
      <c r="P22">
        <v>119.119</v>
      </c>
      <c r="Q22" t="s">
        <v>69</v>
      </c>
      <c r="R22" t="s">
        <v>69</v>
      </c>
      <c r="S22">
        <v>28</v>
      </c>
      <c r="T22" t="s">
        <v>151</v>
      </c>
      <c r="U22" t="s">
        <v>69</v>
      </c>
      <c r="V22" t="s">
        <v>152</v>
      </c>
      <c r="W22" t="s">
        <v>69</v>
      </c>
      <c r="X22">
        <v>165.19200000000001</v>
      </c>
      <c r="Y22" t="s">
        <v>69</v>
      </c>
      <c r="Z22" t="s">
        <v>69</v>
      </c>
      <c r="AA22">
        <v>34</v>
      </c>
      <c r="AB22" t="s">
        <v>153</v>
      </c>
      <c r="AC22" t="s">
        <v>153</v>
      </c>
      <c r="AD22" t="s">
        <v>148</v>
      </c>
      <c r="AE22" t="s">
        <v>153</v>
      </c>
      <c r="AF22">
        <v>132.119</v>
      </c>
      <c r="AG22" t="s">
        <v>69</v>
      </c>
      <c r="AH22" t="s">
        <v>69</v>
      </c>
      <c r="AI22">
        <v>37</v>
      </c>
      <c r="AJ22" t="s">
        <v>119</v>
      </c>
      <c r="AK22" t="s">
        <v>69</v>
      </c>
      <c r="AL22" t="s">
        <v>120</v>
      </c>
      <c r="AM22" t="s">
        <v>69</v>
      </c>
      <c r="AN22">
        <v>147.131</v>
      </c>
      <c r="AO22" t="s">
        <v>69</v>
      </c>
      <c r="AP22" t="s">
        <v>69</v>
      </c>
      <c r="AQ22">
        <v>45</v>
      </c>
      <c r="AR22" t="s">
        <v>72</v>
      </c>
      <c r="AS22" t="s">
        <v>69</v>
      </c>
      <c r="AT22" t="s">
        <v>71</v>
      </c>
      <c r="AU22" t="s">
        <v>69</v>
      </c>
      <c r="AV22">
        <v>131.17500000000001</v>
      </c>
      <c r="AW22" t="s">
        <v>69</v>
      </c>
      <c r="AX22" t="s">
        <v>69</v>
      </c>
      <c r="AY22">
        <v>79</v>
      </c>
      <c r="AZ22" t="s">
        <v>147</v>
      </c>
      <c r="BA22" t="s">
        <v>153</v>
      </c>
      <c r="BB22" t="s">
        <v>148</v>
      </c>
      <c r="BC22" t="s">
        <v>153</v>
      </c>
      <c r="BD22">
        <v>146.14599999999999</v>
      </c>
      <c r="BE22" t="s">
        <v>69</v>
      </c>
      <c r="BF22" t="s">
        <v>69</v>
      </c>
      <c r="BG22">
        <v>82</v>
      </c>
      <c r="BH22" t="s">
        <v>149</v>
      </c>
      <c r="BI22" t="s">
        <v>153</v>
      </c>
      <c r="BJ22" t="s">
        <v>150</v>
      </c>
      <c r="BK22" t="s">
        <v>153</v>
      </c>
      <c r="BL22">
        <v>119.119</v>
      </c>
      <c r="BM22" t="s">
        <v>153</v>
      </c>
      <c r="BN22" t="s">
        <v>153</v>
      </c>
      <c r="BO22">
        <v>330</v>
      </c>
      <c r="BP22" t="s">
        <v>153</v>
      </c>
      <c r="BQ22" t="s">
        <v>69</v>
      </c>
      <c r="BR22" t="s">
        <v>148</v>
      </c>
      <c r="BS22" t="s">
        <v>69</v>
      </c>
      <c r="BT22">
        <v>132.119</v>
      </c>
      <c r="BU22" t="s">
        <v>69</v>
      </c>
      <c r="BV22" t="s">
        <v>69</v>
      </c>
      <c r="BW22">
        <v>354</v>
      </c>
      <c r="BX22" t="s">
        <v>70</v>
      </c>
      <c r="BY22" t="s">
        <v>69</v>
      </c>
      <c r="BZ22" t="s">
        <v>71</v>
      </c>
      <c r="CA22" t="s">
        <v>69</v>
      </c>
      <c r="CB22">
        <v>75.066999999999993</v>
      </c>
      <c r="CC22" t="s">
        <v>69</v>
      </c>
      <c r="CD22" t="s">
        <v>69</v>
      </c>
      <c r="CE22">
        <v>355</v>
      </c>
      <c r="CF22" t="s">
        <v>156</v>
      </c>
      <c r="CG22" t="s">
        <v>69</v>
      </c>
      <c r="CH22" t="s">
        <v>120</v>
      </c>
      <c r="CI22" t="s">
        <v>69</v>
      </c>
      <c r="CJ22">
        <v>133.10400000000001</v>
      </c>
      <c r="CK22" t="s">
        <v>69</v>
      </c>
      <c r="CL22" t="s">
        <v>69</v>
      </c>
      <c r="CM22">
        <v>357</v>
      </c>
      <c r="CN22" t="s">
        <v>74</v>
      </c>
      <c r="CO22" t="s">
        <v>69</v>
      </c>
      <c r="CP22" t="s">
        <v>75</v>
      </c>
      <c r="CQ22" t="s">
        <v>69</v>
      </c>
      <c r="CR22">
        <v>174.203</v>
      </c>
      <c r="CS22" t="s">
        <v>69</v>
      </c>
      <c r="CT22" t="s">
        <v>69</v>
      </c>
      <c r="CU22">
        <v>393</v>
      </c>
      <c r="CV22" t="s">
        <v>74</v>
      </c>
      <c r="CW22" t="s">
        <v>69</v>
      </c>
      <c r="CX22" t="s">
        <v>75</v>
      </c>
      <c r="CY22" t="s">
        <v>69</v>
      </c>
      <c r="CZ22">
        <v>174.203</v>
      </c>
      <c r="DA22" t="s">
        <v>69</v>
      </c>
      <c r="DB22" t="s">
        <v>69</v>
      </c>
    </row>
    <row r="23" spans="1:106" x14ac:dyDescent="0.25">
      <c r="A23">
        <v>7</v>
      </c>
      <c r="B23" t="str">
        <f>HYPERLINK("http://www.ncbi.nlm.nih.gov/protein/NP_001297119.1","NP_001297119.1")</f>
        <v>NP_001297119.1</v>
      </c>
      <c r="C23">
        <v>58003</v>
      </c>
      <c r="D23" t="str">
        <f>HYPERLINK("http://www.ncbi.nlm.nih.gov/Taxonomy/Browser/wwwtax.cgi?mode=Info&amp;id=9669&amp;lvl=3&amp;lin=f&amp;keep=1&amp;srchmode=1&amp;unlock","9669")</f>
        <v>9669</v>
      </c>
      <c r="E23" t="s">
        <v>66</v>
      </c>
      <c r="F23" t="str">
        <f>HYPERLINK("http://www.ncbi.nlm.nih.gov/Taxonomy/Browser/wwwtax.cgi?mode=Info&amp;id=9669&amp;lvl=3&amp;lin=f&amp;keep=1&amp;srchmode=1&amp;unlock","Mustela putorius furo")</f>
        <v>Mustela putorius furo</v>
      </c>
      <c r="G23" t="s">
        <v>98</v>
      </c>
      <c r="H23" t="str">
        <f>HYPERLINK("http://www.ncbi.nlm.nih.gov/protein/NP_001297119.1","angiotensin-converting enzyme 2 precursor")</f>
        <v>angiotensin-converting enzyme 2 precursor</v>
      </c>
      <c r="I23" t="s">
        <v>154</v>
      </c>
      <c r="J23" t="s">
        <v>153</v>
      </c>
      <c r="K23">
        <v>27</v>
      </c>
      <c r="L23" t="s">
        <v>149</v>
      </c>
      <c r="M23" t="s">
        <v>69</v>
      </c>
      <c r="N23" t="s">
        <v>150</v>
      </c>
      <c r="O23" t="s">
        <v>69</v>
      </c>
      <c r="P23">
        <v>119.119</v>
      </c>
      <c r="Q23" t="s">
        <v>69</v>
      </c>
      <c r="R23" t="s">
        <v>69</v>
      </c>
      <c r="S23">
        <v>28</v>
      </c>
      <c r="T23" t="s">
        <v>151</v>
      </c>
      <c r="U23" t="s">
        <v>69</v>
      </c>
      <c r="V23" t="s">
        <v>152</v>
      </c>
      <c r="W23" t="s">
        <v>69</v>
      </c>
      <c r="X23">
        <v>165.19200000000001</v>
      </c>
      <c r="Y23" t="s">
        <v>69</v>
      </c>
      <c r="Z23" t="s">
        <v>69</v>
      </c>
      <c r="AA23">
        <v>34</v>
      </c>
      <c r="AB23" t="s">
        <v>69</v>
      </c>
      <c r="AC23" t="s">
        <v>153</v>
      </c>
      <c r="AD23" t="s">
        <v>152</v>
      </c>
      <c r="AE23" t="s">
        <v>153</v>
      </c>
      <c r="AF23">
        <v>181.191</v>
      </c>
      <c r="AG23" t="s">
        <v>69</v>
      </c>
      <c r="AH23" t="s">
        <v>69</v>
      </c>
      <c r="AI23">
        <v>37</v>
      </c>
      <c r="AJ23" t="s">
        <v>119</v>
      </c>
      <c r="AK23" t="s">
        <v>69</v>
      </c>
      <c r="AL23" t="s">
        <v>120</v>
      </c>
      <c r="AM23" t="s">
        <v>69</v>
      </c>
      <c r="AN23">
        <v>147.131</v>
      </c>
      <c r="AO23" t="s">
        <v>69</v>
      </c>
      <c r="AP23" t="s">
        <v>69</v>
      </c>
      <c r="AQ23">
        <v>45</v>
      </c>
      <c r="AR23" t="s">
        <v>72</v>
      </c>
      <c r="AS23" t="s">
        <v>69</v>
      </c>
      <c r="AT23" t="s">
        <v>71</v>
      </c>
      <c r="AU23" t="s">
        <v>69</v>
      </c>
      <c r="AV23">
        <v>131.17500000000001</v>
      </c>
      <c r="AW23" t="s">
        <v>69</v>
      </c>
      <c r="AX23" t="s">
        <v>69</v>
      </c>
      <c r="AY23">
        <v>79</v>
      </c>
      <c r="AZ23" t="s">
        <v>157</v>
      </c>
      <c r="BA23" t="s">
        <v>153</v>
      </c>
      <c r="BB23" t="s">
        <v>75</v>
      </c>
      <c r="BC23" t="s">
        <v>153</v>
      </c>
      <c r="BD23">
        <v>155.15600000000001</v>
      </c>
      <c r="BE23" t="s">
        <v>69</v>
      </c>
      <c r="BF23" t="s">
        <v>69</v>
      </c>
      <c r="BG23">
        <v>82</v>
      </c>
      <c r="BH23" t="s">
        <v>149</v>
      </c>
      <c r="BI23" t="s">
        <v>153</v>
      </c>
      <c r="BJ23" t="s">
        <v>150</v>
      </c>
      <c r="BK23" t="s">
        <v>153</v>
      </c>
      <c r="BL23">
        <v>119.119</v>
      </c>
      <c r="BM23" t="s">
        <v>153</v>
      </c>
      <c r="BN23" t="s">
        <v>153</v>
      </c>
      <c r="BO23">
        <v>330</v>
      </c>
      <c r="BP23" t="s">
        <v>153</v>
      </c>
      <c r="BQ23" t="s">
        <v>69</v>
      </c>
      <c r="BR23" t="s">
        <v>148</v>
      </c>
      <c r="BS23" t="s">
        <v>69</v>
      </c>
      <c r="BT23">
        <v>132.119</v>
      </c>
      <c r="BU23" t="s">
        <v>69</v>
      </c>
      <c r="BV23" t="s">
        <v>69</v>
      </c>
      <c r="BW23">
        <v>354</v>
      </c>
      <c r="BX23" t="s">
        <v>74</v>
      </c>
      <c r="BY23" t="s">
        <v>153</v>
      </c>
      <c r="BZ23" t="s">
        <v>75</v>
      </c>
      <c r="CA23" t="s">
        <v>153</v>
      </c>
      <c r="CB23">
        <v>174.203</v>
      </c>
      <c r="CC23" t="s">
        <v>153</v>
      </c>
      <c r="CD23" t="s">
        <v>153</v>
      </c>
      <c r="CE23">
        <v>355</v>
      </c>
      <c r="CF23" t="s">
        <v>156</v>
      </c>
      <c r="CG23" t="s">
        <v>69</v>
      </c>
      <c r="CH23" t="s">
        <v>120</v>
      </c>
      <c r="CI23" t="s">
        <v>69</v>
      </c>
      <c r="CJ23">
        <v>133.10400000000001</v>
      </c>
      <c r="CK23" t="s">
        <v>69</v>
      </c>
      <c r="CL23" t="s">
        <v>69</v>
      </c>
      <c r="CM23">
        <v>357</v>
      </c>
      <c r="CN23" t="s">
        <v>74</v>
      </c>
      <c r="CO23" t="s">
        <v>69</v>
      </c>
      <c r="CP23" t="s">
        <v>75</v>
      </c>
      <c r="CQ23" t="s">
        <v>69</v>
      </c>
      <c r="CR23">
        <v>174.203</v>
      </c>
      <c r="CS23" t="s">
        <v>69</v>
      </c>
      <c r="CT23" t="s">
        <v>69</v>
      </c>
      <c r="CU23">
        <v>393</v>
      </c>
      <c r="CV23" t="s">
        <v>74</v>
      </c>
      <c r="CW23" t="s">
        <v>69</v>
      </c>
      <c r="CX23" t="s">
        <v>75</v>
      </c>
      <c r="CY23" t="s">
        <v>69</v>
      </c>
      <c r="CZ23">
        <v>174.203</v>
      </c>
      <c r="DA23" t="s">
        <v>69</v>
      </c>
      <c r="DB23" t="s">
        <v>69</v>
      </c>
    </row>
    <row r="24" spans="1:106" x14ac:dyDescent="0.25">
      <c r="A24">
        <v>7</v>
      </c>
      <c r="B24" t="str">
        <f>HYPERLINK("http://www.ncbi.nlm.nih.gov/protein/XP_005228486.1","XP_005228486.1")</f>
        <v>XP_005228486.1</v>
      </c>
      <c r="C24">
        <v>136186</v>
      </c>
      <c r="D24" t="str">
        <f>HYPERLINK("http://www.ncbi.nlm.nih.gov/Taxonomy/Browser/wwwtax.cgi?mode=Info&amp;id=9913&amp;lvl=3&amp;lin=f&amp;keep=1&amp;srchmode=1&amp;unlock","9913")</f>
        <v>9913</v>
      </c>
      <c r="E24" t="s">
        <v>66</v>
      </c>
      <c r="F24" t="str">
        <f>HYPERLINK("http://www.ncbi.nlm.nih.gov/Taxonomy/Browser/wwwtax.cgi?mode=Info&amp;id=9913&amp;lvl=3&amp;lin=f&amp;keep=1&amp;srchmode=1&amp;unlock","Bos taurus")</f>
        <v>Bos taurus</v>
      </c>
      <c r="G24" t="s">
        <v>82</v>
      </c>
      <c r="H24" t="str">
        <f>HYPERLINK("http://www.ncbi.nlm.nih.gov/protein/XP_005228486.1","angiotensin-converting enzyme 2 isoform X2")</f>
        <v>angiotensin-converting enzyme 2 isoform X2</v>
      </c>
      <c r="I24" t="s">
        <v>154</v>
      </c>
      <c r="J24" t="s">
        <v>153</v>
      </c>
      <c r="K24">
        <v>27</v>
      </c>
      <c r="L24" t="s">
        <v>149</v>
      </c>
      <c r="M24" t="s">
        <v>69</v>
      </c>
      <c r="N24" t="s">
        <v>150</v>
      </c>
      <c r="O24" t="s">
        <v>69</v>
      </c>
      <c r="P24">
        <v>119.119</v>
      </c>
      <c r="Q24" t="s">
        <v>69</v>
      </c>
      <c r="R24" t="s">
        <v>69</v>
      </c>
      <c r="S24">
        <v>28</v>
      </c>
      <c r="T24" t="s">
        <v>151</v>
      </c>
      <c r="U24" t="s">
        <v>69</v>
      </c>
      <c r="V24" t="s">
        <v>152</v>
      </c>
      <c r="W24" t="s">
        <v>69</v>
      </c>
      <c r="X24">
        <v>165.19200000000001</v>
      </c>
      <c r="Y24" t="s">
        <v>69</v>
      </c>
      <c r="Z24" t="s">
        <v>69</v>
      </c>
      <c r="AA24">
        <v>34</v>
      </c>
      <c r="AB24" t="s">
        <v>157</v>
      </c>
      <c r="AC24" t="s">
        <v>69</v>
      </c>
      <c r="AD24" t="s">
        <v>75</v>
      </c>
      <c r="AE24" t="s">
        <v>69</v>
      </c>
      <c r="AF24">
        <v>155.15600000000001</v>
      </c>
      <c r="AG24" t="s">
        <v>69</v>
      </c>
      <c r="AH24" t="s">
        <v>69</v>
      </c>
      <c r="AI24">
        <v>37</v>
      </c>
      <c r="AJ24" t="s">
        <v>119</v>
      </c>
      <c r="AK24" t="s">
        <v>69</v>
      </c>
      <c r="AL24" t="s">
        <v>120</v>
      </c>
      <c r="AM24" t="s">
        <v>69</v>
      </c>
      <c r="AN24">
        <v>147.131</v>
      </c>
      <c r="AO24" t="s">
        <v>69</v>
      </c>
      <c r="AP24" t="s">
        <v>69</v>
      </c>
      <c r="AQ24">
        <v>45</v>
      </c>
      <c r="AR24" t="s">
        <v>72</v>
      </c>
      <c r="AS24" t="s">
        <v>69</v>
      </c>
      <c r="AT24" t="s">
        <v>71</v>
      </c>
      <c r="AU24" t="s">
        <v>69</v>
      </c>
      <c r="AV24">
        <v>131.17500000000001</v>
      </c>
      <c r="AW24" t="s">
        <v>69</v>
      </c>
      <c r="AX24" t="s">
        <v>69</v>
      </c>
      <c r="AY24">
        <v>79</v>
      </c>
      <c r="AZ24" t="s">
        <v>116</v>
      </c>
      <c r="BA24" t="s">
        <v>153</v>
      </c>
      <c r="BB24" t="s">
        <v>117</v>
      </c>
      <c r="BC24" t="s">
        <v>153</v>
      </c>
      <c r="BD24">
        <v>149.208</v>
      </c>
      <c r="BE24" t="s">
        <v>69</v>
      </c>
      <c r="BF24" t="s">
        <v>69</v>
      </c>
      <c r="BG24">
        <v>82</v>
      </c>
      <c r="BH24" t="s">
        <v>149</v>
      </c>
      <c r="BI24" t="s">
        <v>153</v>
      </c>
      <c r="BJ24" t="s">
        <v>150</v>
      </c>
      <c r="BK24" t="s">
        <v>153</v>
      </c>
      <c r="BL24">
        <v>119.119</v>
      </c>
      <c r="BM24" t="s">
        <v>153</v>
      </c>
      <c r="BN24" t="s">
        <v>153</v>
      </c>
      <c r="BO24">
        <v>329</v>
      </c>
      <c r="BP24" t="s">
        <v>153</v>
      </c>
      <c r="BQ24" t="s">
        <v>69</v>
      </c>
      <c r="BR24" t="s">
        <v>148</v>
      </c>
      <c r="BS24" t="s">
        <v>69</v>
      </c>
      <c r="BT24">
        <v>132.119</v>
      </c>
      <c r="BU24" t="s">
        <v>69</v>
      </c>
      <c r="BV24" t="s">
        <v>69</v>
      </c>
      <c r="BW24">
        <v>353</v>
      </c>
      <c r="BX24" t="s">
        <v>70</v>
      </c>
      <c r="BY24" t="s">
        <v>69</v>
      </c>
      <c r="BZ24" t="s">
        <v>71</v>
      </c>
      <c r="CA24" t="s">
        <v>69</v>
      </c>
      <c r="CB24">
        <v>75.066999999999993</v>
      </c>
      <c r="CC24" t="s">
        <v>69</v>
      </c>
      <c r="CD24" t="s">
        <v>69</v>
      </c>
      <c r="CE24">
        <v>354</v>
      </c>
      <c r="CF24" t="s">
        <v>156</v>
      </c>
      <c r="CG24" t="s">
        <v>69</v>
      </c>
      <c r="CH24" t="s">
        <v>120</v>
      </c>
      <c r="CI24" t="s">
        <v>69</v>
      </c>
      <c r="CJ24">
        <v>133.10400000000001</v>
      </c>
      <c r="CK24" t="s">
        <v>69</v>
      </c>
      <c r="CL24" t="s">
        <v>69</v>
      </c>
      <c r="CM24">
        <v>356</v>
      </c>
      <c r="CN24" t="s">
        <v>74</v>
      </c>
      <c r="CO24" t="s">
        <v>69</v>
      </c>
      <c r="CP24" t="s">
        <v>75</v>
      </c>
      <c r="CQ24" t="s">
        <v>69</v>
      </c>
      <c r="CR24">
        <v>174.203</v>
      </c>
      <c r="CS24" t="s">
        <v>69</v>
      </c>
      <c r="CT24" t="s">
        <v>69</v>
      </c>
      <c r="CU24">
        <v>392</v>
      </c>
      <c r="CV24" t="s">
        <v>74</v>
      </c>
      <c r="CW24" t="s">
        <v>69</v>
      </c>
      <c r="CX24" t="s">
        <v>75</v>
      </c>
      <c r="CY24" t="s">
        <v>69</v>
      </c>
      <c r="CZ24">
        <v>174.203</v>
      </c>
      <c r="DA24" t="s">
        <v>69</v>
      </c>
      <c r="DB24" t="s">
        <v>69</v>
      </c>
    </row>
    <row r="25" spans="1:106" x14ac:dyDescent="0.25">
      <c r="A25">
        <v>7</v>
      </c>
      <c r="B25" t="str">
        <f>HYPERLINK("http://www.ncbi.nlm.nih.gov/protein/NP_001123985.1","NP_001123985.1")</f>
        <v>NP_001123985.1</v>
      </c>
      <c r="C25">
        <v>337449</v>
      </c>
      <c r="D25" t="str">
        <f>HYPERLINK("http://www.ncbi.nlm.nih.gov/Taxonomy/Browser/wwwtax.cgi?mode=Info&amp;id=10090&amp;lvl=3&amp;lin=f&amp;keep=1&amp;srchmode=1&amp;unlock","10090")</f>
        <v>10090</v>
      </c>
      <c r="E25" t="s">
        <v>66</v>
      </c>
      <c r="F25" t="str">
        <f>HYPERLINK("http://www.ncbi.nlm.nih.gov/Taxonomy/Browser/wwwtax.cgi?mode=Info&amp;id=10090&amp;lvl=3&amp;lin=f&amp;keep=1&amp;srchmode=1&amp;unlock","Mus musculus")</f>
        <v>Mus musculus</v>
      </c>
      <c r="G25" t="s">
        <v>104</v>
      </c>
      <c r="H25" t="str">
        <f>HYPERLINK("http://www.ncbi.nlm.nih.gov/protein/NP_001123985.1","angiotensin-converting enzyme 2 precursor")</f>
        <v>angiotensin-converting enzyme 2 precursor</v>
      </c>
      <c r="I25" t="s">
        <v>154</v>
      </c>
      <c r="J25" t="s">
        <v>153</v>
      </c>
      <c r="K25">
        <v>27</v>
      </c>
      <c r="L25" t="s">
        <v>149</v>
      </c>
      <c r="M25" t="s">
        <v>69</v>
      </c>
      <c r="N25" t="s">
        <v>150</v>
      </c>
      <c r="O25" t="s">
        <v>69</v>
      </c>
      <c r="P25">
        <v>119.119</v>
      </c>
      <c r="Q25" t="s">
        <v>69</v>
      </c>
      <c r="R25" t="s">
        <v>69</v>
      </c>
      <c r="S25">
        <v>28</v>
      </c>
      <c r="T25" t="s">
        <v>151</v>
      </c>
      <c r="U25" t="s">
        <v>69</v>
      </c>
      <c r="V25" t="s">
        <v>152</v>
      </c>
      <c r="W25" t="s">
        <v>69</v>
      </c>
      <c r="X25">
        <v>165.19200000000001</v>
      </c>
      <c r="Y25" t="s">
        <v>69</v>
      </c>
      <c r="Z25" t="s">
        <v>69</v>
      </c>
      <c r="AA25">
        <v>34</v>
      </c>
      <c r="AB25" t="s">
        <v>147</v>
      </c>
      <c r="AC25" t="s">
        <v>153</v>
      </c>
      <c r="AD25" t="s">
        <v>148</v>
      </c>
      <c r="AE25" t="s">
        <v>153</v>
      </c>
      <c r="AF25">
        <v>146.14599999999999</v>
      </c>
      <c r="AG25" t="s">
        <v>69</v>
      </c>
      <c r="AH25" t="s">
        <v>69</v>
      </c>
      <c r="AI25">
        <v>37</v>
      </c>
      <c r="AJ25" t="s">
        <v>119</v>
      </c>
      <c r="AK25" t="s">
        <v>69</v>
      </c>
      <c r="AL25" t="s">
        <v>120</v>
      </c>
      <c r="AM25" t="s">
        <v>69</v>
      </c>
      <c r="AN25">
        <v>147.131</v>
      </c>
      <c r="AO25" t="s">
        <v>69</v>
      </c>
      <c r="AP25" t="s">
        <v>69</v>
      </c>
      <c r="AQ25">
        <v>45</v>
      </c>
      <c r="AR25" t="s">
        <v>72</v>
      </c>
      <c r="AS25" t="s">
        <v>69</v>
      </c>
      <c r="AT25" t="s">
        <v>71</v>
      </c>
      <c r="AU25" t="s">
        <v>69</v>
      </c>
      <c r="AV25">
        <v>131.17500000000001</v>
      </c>
      <c r="AW25" t="s">
        <v>69</v>
      </c>
      <c r="AX25" t="s">
        <v>69</v>
      </c>
      <c r="AY25">
        <v>79</v>
      </c>
      <c r="AZ25" t="s">
        <v>149</v>
      </c>
      <c r="BA25" t="s">
        <v>153</v>
      </c>
      <c r="BB25" t="s">
        <v>150</v>
      </c>
      <c r="BC25" t="s">
        <v>153</v>
      </c>
      <c r="BD25">
        <v>119.119</v>
      </c>
      <c r="BE25" t="s">
        <v>69</v>
      </c>
      <c r="BF25" t="s">
        <v>69</v>
      </c>
      <c r="BG25">
        <v>82</v>
      </c>
      <c r="BH25" t="s">
        <v>155</v>
      </c>
      <c r="BI25" t="s">
        <v>153</v>
      </c>
      <c r="BJ25" t="s">
        <v>150</v>
      </c>
      <c r="BK25" t="s">
        <v>153</v>
      </c>
      <c r="BL25">
        <v>105.093</v>
      </c>
      <c r="BM25" t="s">
        <v>153</v>
      </c>
      <c r="BN25" t="s">
        <v>153</v>
      </c>
      <c r="BO25">
        <v>330</v>
      </c>
      <c r="BP25" t="s">
        <v>153</v>
      </c>
      <c r="BQ25" t="s">
        <v>69</v>
      </c>
      <c r="BR25" t="s">
        <v>148</v>
      </c>
      <c r="BS25" t="s">
        <v>69</v>
      </c>
      <c r="BT25">
        <v>132.119</v>
      </c>
      <c r="BU25" t="s">
        <v>69</v>
      </c>
      <c r="BV25" t="s">
        <v>69</v>
      </c>
      <c r="BW25">
        <v>354</v>
      </c>
      <c r="BX25" t="s">
        <v>70</v>
      </c>
      <c r="BY25" t="s">
        <v>69</v>
      </c>
      <c r="BZ25" t="s">
        <v>71</v>
      </c>
      <c r="CA25" t="s">
        <v>69</v>
      </c>
      <c r="CB25">
        <v>75.066999999999993</v>
      </c>
      <c r="CC25" t="s">
        <v>69</v>
      </c>
      <c r="CD25" t="s">
        <v>69</v>
      </c>
      <c r="CE25">
        <v>355</v>
      </c>
      <c r="CF25" t="s">
        <v>156</v>
      </c>
      <c r="CG25" t="s">
        <v>69</v>
      </c>
      <c r="CH25" t="s">
        <v>120</v>
      </c>
      <c r="CI25" t="s">
        <v>69</v>
      </c>
      <c r="CJ25">
        <v>133.10400000000001</v>
      </c>
      <c r="CK25" t="s">
        <v>69</v>
      </c>
      <c r="CL25" t="s">
        <v>69</v>
      </c>
      <c r="CM25">
        <v>357</v>
      </c>
      <c r="CN25" t="s">
        <v>74</v>
      </c>
      <c r="CO25" t="s">
        <v>69</v>
      </c>
      <c r="CP25" t="s">
        <v>75</v>
      </c>
      <c r="CQ25" t="s">
        <v>69</v>
      </c>
      <c r="CR25">
        <v>174.203</v>
      </c>
      <c r="CS25" t="s">
        <v>69</v>
      </c>
      <c r="CT25" t="s">
        <v>69</v>
      </c>
      <c r="CU25">
        <v>393</v>
      </c>
      <c r="CV25" t="s">
        <v>74</v>
      </c>
      <c r="CW25" t="s">
        <v>69</v>
      </c>
      <c r="CX25" t="s">
        <v>75</v>
      </c>
      <c r="CY25" t="s">
        <v>69</v>
      </c>
      <c r="CZ25">
        <v>174.203</v>
      </c>
      <c r="DA25" t="s">
        <v>69</v>
      </c>
      <c r="DB25" t="s">
        <v>69</v>
      </c>
    </row>
    <row r="26" spans="1:106" x14ac:dyDescent="0.25">
      <c r="A26">
        <v>7</v>
      </c>
      <c r="B26" t="str">
        <f>HYPERLINK("http://www.ncbi.nlm.nih.gov/protein/ABW16956.1","ABW16956.1")</f>
        <v>ABW16956.1</v>
      </c>
      <c r="C26">
        <v>27271</v>
      </c>
      <c r="D26" t="str">
        <f>HYPERLINK("http://www.ncbi.nlm.nih.gov/Taxonomy/Browser/wwwtax.cgi?mode=Info&amp;id=34880&amp;lvl=3&amp;lin=f&amp;keep=1&amp;srchmode=1&amp;unlock","34880")</f>
        <v>34880</v>
      </c>
      <c r="E26" t="s">
        <v>66</v>
      </c>
      <c r="F26" t="str">
        <f>HYPERLINK("http://www.ncbi.nlm.nih.gov/Taxonomy/Browser/wwwtax.cgi?mode=Info&amp;id=34880&amp;lvl=3&amp;lin=f&amp;keep=1&amp;srchmode=1&amp;unlock","Nyctereutes procyonoides")</f>
        <v>Nyctereutes procyonoides</v>
      </c>
      <c r="G26" t="s">
        <v>92</v>
      </c>
      <c r="H26" t="str">
        <f>HYPERLINK("http://www.ncbi.nlm.nih.gov/protein/ABW16956.1","angiotensin converting enzyme 2")</f>
        <v>angiotensin converting enzyme 2</v>
      </c>
      <c r="I26" t="s">
        <v>154</v>
      </c>
      <c r="J26" t="s">
        <v>153</v>
      </c>
      <c r="K26">
        <v>26</v>
      </c>
      <c r="L26" t="s">
        <v>149</v>
      </c>
      <c r="M26" t="s">
        <v>69</v>
      </c>
      <c r="N26" t="s">
        <v>150</v>
      </c>
      <c r="O26" t="s">
        <v>69</v>
      </c>
      <c r="P26">
        <v>119.119</v>
      </c>
      <c r="Q26" t="s">
        <v>69</v>
      </c>
      <c r="R26" t="s">
        <v>69</v>
      </c>
      <c r="S26">
        <v>27</v>
      </c>
      <c r="T26" t="s">
        <v>151</v>
      </c>
      <c r="U26" t="s">
        <v>69</v>
      </c>
      <c r="V26" t="s">
        <v>152</v>
      </c>
      <c r="W26" t="s">
        <v>69</v>
      </c>
      <c r="X26">
        <v>165.19200000000001</v>
      </c>
      <c r="Y26" t="s">
        <v>69</v>
      </c>
      <c r="Z26" t="s">
        <v>69</v>
      </c>
      <c r="AA26">
        <v>33</v>
      </c>
      <c r="AB26" t="s">
        <v>69</v>
      </c>
      <c r="AC26" t="s">
        <v>153</v>
      </c>
      <c r="AD26" t="s">
        <v>152</v>
      </c>
      <c r="AE26" t="s">
        <v>153</v>
      </c>
      <c r="AF26">
        <v>181.191</v>
      </c>
      <c r="AG26" t="s">
        <v>69</v>
      </c>
      <c r="AH26" t="s">
        <v>69</v>
      </c>
      <c r="AI26">
        <v>36</v>
      </c>
      <c r="AJ26" t="s">
        <v>119</v>
      </c>
      <c r="AK26" t="s">
        <v>69</v>
      </c>
      <c r="AL26" t="s">
        <v>120</v>
      </c>
      <c r="AM26" t="s">
        <v>69</v>
      </c>
      <c r="AN26">
        <v>147.131</v>
      </c>
      <c r="AO26" t="s">
        <v>69</v>
      </c>
      <c r="AP26" t="s">
        <v>69</v>
      </c>
      <c r="AQ26">
        <v>44</v>
      </c>
      <c r="AR26" t="s">
        <v>72</v>
      </c>
      <c r="AS26" t="s">
        <v>69</v>
      </c>
      <c r="AT26" t="s">
        <v>71</v>
      </c>
      <c r="AU26" t="s">
        <v>69</v>
      </c>
      <c r="AV26">
        <v>131.17500000000001</v>
      </c>
      <c r="AW26" t="s">
        <v>69</v>
      </c>
      <c r="AX26" t="s">
        <v>69</v>
      </c>
      <c r="AY26">
        <v>78</v>
      </c>
      <c r="AZ26" t="s">
        <v>72</v>
      </c>
      <c r="BA26" t="s">
        <v>69</v>
      </c>
      <c r="BB26" t="s">
        <v>71</v>
      </c>
      <c r="BC26" t="s">
        <v>69</v>
      </c>
      <c r="BD26">
        <v>131.17500000000001</v>
      </c>
      <c r="BE26" t="s">
        <v>69</v>
      </c>
      <c r="BF26" t="s">
        <v>69</v>
      </c>
      <c r="BG26">
        <v>81</v>
      </c>
      <c r="BH26" t="s">
        <v>149</v>
      </c>
      <c r="BI26" t="s">
        <v>153</v>
      </c>
      <c r="BJ26" t="s">
        <v>150</v>
      </c>
      <c r="BK26" t="s">
        <v>153</v>
      </c>
      <c r="BL26">
        <v>119.119</v>
      </c>
      <c r="BM26" t="s">
        <v>153</v>
      </c>
      <c r="BN26" t="s">
        <v>153</v>
      </c>
      <c r="BO26">
        <v>329</v>
      </c>
      <c r="BP26" t="s">
        <v>153</v>
      </c>
      <c r="BQ26" t="s">
        <v>69</v>
      </c>
      <c r="BR26" t="s">
        <v>148</v>
      </c>
      <c r="BS26" t="s">
        <v>69</v>
      </c>
      <c r="BT26">
        <v>132.119</v>
      </c>
      <c r="BU26" t="s">
        <v>69</v>
      </c>
      <c r="BV26" t="s">
        <v>69</v>
      </c>
      <c r="BW26">
        <v>353</v>
      </c>
      <c r="BX26" t="s">
        <v>70</v>
      </c>
      <c r="BY26" t="s">
        <v>69</v>
      </c>
      <c r="BZ26" t="s">
        <v>71</v>
      </c>
      <c r="CA26" t="s">
        <v>69</v>
      </c>
      <c r="CB26">
        <v>75.066999999999993</v>
      </c>
      <c r="CC26" t="s">
        <v>69</v>
      </c>
      <c r="CD26" t="s">
        <v>69</v>
      </c>
      <c r="CE26">
        <v>354</v>
      </c>
      <c r="CF26" t="s">
        <v>156</v>
      </c>
      <c r="CG26" t="s">
        <v>69</v>
      </c>
      <c r="CH26" t="s">
        <v>120</v>
      </c>
      <c r="CI26" t="s">
        <v>69</v>
      </c>
      <c r="CJ26">
        <v>133.10400000000001</v>
      </c>
      <c r="CK26" t="s">
        <v>69</v>
      </c>
      <c r="CL26" t="s">
        <v>69</v>
      </c>
      <c r="CM26">
        <v>356</v>
      </c>
      <c r="CN26" t="s">
        <v>74</v>
      </c>
      <c r="CO26" t="s">
        <v>69</v>
      </c>
      <c r="CP26" t="s">
        <v>75</v>
      </c>
      <c r="CQ26" t="s">
        <v>69</v>
      </c>
      <c r="CR26">
        <v>174.203</v>
      </c>
      <c r="CS26" t="s">
        <v>69</v>
      </c>
      <c r="CT26" t="s">
        <v>69</v>
      </c>
      <c r="CU26">
        <v>392</v>
      </c>
      <c r="CV26" t="s">
        <v>74</v>
      </c>
      <c r="CW26" t="s">
        <v>69</v>
      </c>
      <c r="CX26" t="s">
        <v>75</v>
      </c>
      <c r="CY26" t="s">
        <v>69</v>
      </c>
      <c r="CZ26">
        <v>174.203</v>
      </c>
      <c r="DA26" t="s">
        <v>69</v>
      </c>
      <c r="DB26" t="s">
        <v>69</v>
      </c>
    </row>
    <row r="27" spans="1:106" x14ac:dyDescent="0.25">
      <c r="A27">
        <v>7</v>
      </c>
      <c r="B27" t="str">
        <f>HYPERLINK("http://www.ncbi.nlm.nih.gov/protein/XP_025842512.1","XP_025842512.1")</f>
        <v>XP_025842512.1</v>
      </c>
      <c r="C27">
        <v>38435</v>
      </c>
      <c r="D27" t="str">
        <f>HYPERLINK("http://www.ncbi.nlm.nih.gov/Taxonomy/Browser/wwwtax.cgi?mode=Info&amp;id=9627&amp;lvl=3&amp;lin=f&amp;keep=1&amp;srchmode=1&amp;unlock","9627")</f>
        <v>9627</v>
      </c>
      <c r="E27" t="s">
        <v>66</v>
      </c>
      <c r="F27" t="str">
        <f>HYPERLINK("http://www.ncbi.nlm.nih.gov/Taxonomy/Browser/wwwtax.cgi?mode=Info&amp;id=9627&amp;lvl=3&amp;lin=f&amp;keep=1&amp;srchmode=1&amp;unlock","Vulpes vulpes")</f>
        <v>Vulpes vulpes</v>
      </c>
      <c r="G27" t="s">
        <v>95</v>
      </c>
      <c r="H27" t="str">
        <f>HYPERLINK("http://www.ncbi.nlm.nih.gov/protein/XP_025842512.1","angiotensin-converting enzyme 2")</f>
        <v>angiotensin-converting enzyme 2</v>
      </c>
      <c r="I27" t="s">
        <v>154</v>
      </c>
      <c r="J27" t="s">
        <v>153</v>
      </c>
      <c r="K27">
        <v>26</v>
      </c>
      <c r="L27" t="s">
        <v>149</v>
      </c>
      <c r="M27" t="s">
        <v>69</v>
      </c>
      <c r="N27" t="s">
        <v>150</v>
      </c>
      <c r="O27" t="s">
        <v>69</v>
      </c>
      <c r="P27">
        <v>119.119</v>
      </c>
      <c r="Q27" t="s">
        <v>69</v>
      </c>
      <c r="R27" t="s">
        <v>69</v>
      </c>
      <c r="S27">
        <v>27</v>
      </c>
      <c r="T27" t="s">
        <v>151</v>
      </c>
      <c r="U27" t="s">
        <v>69</v>
      </c>
      <c r="V27" t="s">
        <v>152</v>
      </c>
      <c r="W27" t="s">
        <v>69</v>
      </c>
      <c r="X27">
        <v>165.19200000000001</v>
      </c>
      <c r="Y27" t="s">
        <v>69</v>
      </c>
      <c r="Z27" t="s">
        <v>69</v>
      </c>
      <c r="AA27">
        <v>33</v>
      </c>
      <c r="AB27" t="s">
        <v>69</v>
      </c>
      <c r="AC27" t="s">
        <v>153</v>
      </c>
      <c r="AD27" t="s">
        <v>152</v>
      </c>
      <c r="AE27" t="s">
        <v>153</v>
      </c>
      <c r="AF27">
        <v>181.191</v>
      </c>
      <c r="AG27" t="s">
        <v>69</v>
      </c>
      <c r="AH27" t="s">
        <v>69</v>
      </c>
      <c r="AI27">
        <v>36</v>
      </c>
      <c r="AJ27" t="s">
        <v>119</v>
      </c>
      <c r="AK27" t="s">
        <v>69</v>
      </c>
      <c r="AL27" t="s">
        <v>120</v>
      </c>
      <c r="AM27" t="s">
        <v>69</v>
      </c>
      <c r="AN27">
        <v>147.131</v>
      </c>
      <c r="AO27" t="s">
        <v>69</v>
      </c>
      <c r="AP27" t="s">
        <v>69</v>
      </c>
      <c r="AQ27">
        <v>44</v>
      </c>
      <c r="AR27" t="s">
        <v>72</v>
      </c>
      <c r="AS27" t="s">
        <v>69</v>
      </c>
      <c r="AT27" t="s">
        <v>71</v>
      </c>
      <c r="AU27" t="s">
        <v>69</v>
      </c>
      <c r="AV27">
        <v>131.17500000000001</v>
      </c>
      <c r="AW27" t="s">
        <v>69</v>
      </c>
      <c r="AX27" t="s">
        <v>69</v>
      </c>
      <c r="AY27">
        <v>78</v>
      </c>
      <c r="AZ27" t="s">
        <v>72</v>
      </c>
      <c r="BA27" t="s">
        <v>69</v>
      </c>
      <c r="BB27" t="s">
        <v>71</v>
      </c>
      <c r="BC27" t="s">
        <v>69</v>
      </c>
      <c r="BD27">
        <v>131.17500000000001</v>
      </c>
      <c r="BE27" t="s">
        <v>69</v>
      </c>
      <c r="BF27" t="s">
        <v>69</v>
      </c>
      <c r="BG27">
        <v>81</v>
      </c>
      <c r="BH27" t="s">
        <v>149</v>
      </c>
      <c r="BI27" t="s">
        <v>153</v>
      </c>
      <c r="BJ27" t="s">
        <v>150</v>
      </c>
      <c r="BK27" t="s">
        <v>153</v>
      </c>
      <c r="BL27">
        <v>119.119</v>
      </c>
      <c r="BM27" t="s">
        <v>153</v>
      </c>
      <c r="BN27" t="s">
        <v>153</v>
      </c>
      <c r="BO27">
        <v>329</v>
      </c>
      <c r="BP27" t="s">
        <v>153</v>
      </c>
      <c r="BQ27" t="s">
        <v>69</v>
      </c>
      <c r="BR27" t="s">
        <v>148</v>
      </c>
      <c r="BS27" t="s">
        <v>69</v>
      </c>
      <c r="BT27">
        <v>132.119</v>
      </c>
      <c r="BU27" t="s">
        <v>69</v>
      </c>
      <c r="BV27" t="s">
        <v>69</v>
      </c>
      <c r="BW27">
        <v>353</v>
      </c>
      <c r="BX27" t="s">
        <v>70</v>
      </c>
      <c r="BY27" t="s">
        <v>69</v>
      </c>
      <c r="BZ27" t="s">
        <v>71</v>
      </c>
      <c r="CA27" t="s">
        <v>69</v>
      </c>
      <c r="CB27">
        <v>75.066999999999993</v>
      </c>
      <c r="CC27" t="s">
        <v>69</v>
      </c>
      <c r="CD27" t="s">
        <v>69</v>
      </c>
      <c r="CE27">
        <v>354</v>
      </c>
      <c r="CF27" t="s">
        <v>156</v>
      </c>
      <c r="CG27" t="s">
        <v>69</v>
      </c>
      <c r="CH27" t="s">
        <v>120</v>
      </c>
      <c r="CI27" t="s">
        <v>69</v>
      </c>
      <c r="CJ27">
        <v>133.10400000000001</v>
      </c>
      <c r="CK27" t="s">
        <v>69</v>
      </c>
      <c r="CL27" t="s">
        <v>69</v>
      </c>
      <c r="CM27">
        <v>356</v>
      </c>
      <c r="CN27" t="s">
        <v>74</v>
      </c>
      <c r="CO27" t="s">
        <v>69</v>
      </c>
      <c r="CP27" t="s">
        <v>75</v>
      </c>
      <c r="CQ27" t="s">
        <v>69</v>
      </c>
      <c r="CR27">
        <v>174.203</v>
      </c>
      <c r="CS27" t="s">
        <v>69</v>
      </c>
      <c r="CT27" t="s">
        <v>69</v>
      </c>
      <c r="CU27">
        <v>392</v>
      </c>
      <c r="CV27" t="s">
        <v>74</v>
      </c>
      <c r="CW27" t="s">
        <v>69</v>
      </c>
      <c r="CX27" t="s">
        <v>75</v>
      </c>
      <c r="CY27" t="s">
        <v>69</v>
      </c>
      <c r="CZ27">
        <v>174.203</v>
      </c>
      <c r="DA27" t="s">
        <v>69</v>
      </c>
      <c r="DB27" t="s">
        <v>69</v>
      </c>
    </row>
    <row r="28" spans="1:106" x14ac:dyDescent="0.25">
      <c r="A28">
        <v>7</v>
      </c>
      <c r="B28" t="str">
        <f>HYPERLINK("http://www.ncbi.nlm.nih.gov/protein/NP_001012006.1","NP_001012006.1")</f>
        <v>NP_001012006.1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HYPERLINK("http://www.ncbi.nlm.nih.gov/protein/NP_001012006.1","angiotensin-converting enzyme 2 precursor")</f>
        <v>angiotensin-converting enzyme 2 precursor</v>
      </c>
      <c r="I28" t="s">
        <v>154</v>
      </c>
      <c r="J28" t="s">
        <v>69</v>
      </c>
      <c r="K28">
        <v>27</v>
      </c>
      <c r="L28" t="s">
        <v>155</v>
      </c>
      <c r="M28" t="s">
        <v>153</v>
      </c>
      <c r="N28" t="s">
        <v>150</v>
      </c>
      <c r="O28" t="s">
        <v>69</v>
      </c>
      <c r="P28">
        <v>105.093</v>
      </c>
      <c r="Q28" t="s">
        <v>69</v>
      </c>
      <c r="R28" t="s">
        <v>69</v>
      </c>
      <c r="S28">
        <v>28</v>
      </c>
      <c r="T28" t="s">
        <v>151</v>
      </c>
      <c r="U28" t="s">
        <v>69</v>
      </c>
      <c r="V28" t="s">
        <v>152</v>
      </c>
      <c r="W28" t="s">
        <v>69</v>
      </c>
      <c r="X28">
        <v>165.19200000000001</v>
      </c>
      <c r="Y28" t="s">
        <v>69</v>
      </c>
      <c r="Z28" t="s">
        <v>69</v>
      </c>
      <c r="AA28">
        <v>34</v>
      </c>
      <c r="AB28" t="s">
        <v>147</v>
      </c>
      <c r="AC28" t="s">
        <v>153</v>
      </c>
      <c r="AD28" t="s">
        <v>148</v>
      </c>
      <c r="AE28" t="s">
        <v>153</v>
      </c>
      <c r="AF28">
        <v>146.14599999999999</v>
      </c>
      <c r="AG28" t="s">
        <v>69</v>
      </c>
      <c r="AH28" t="s">
        <v>69</v>
      </c>
      <c r="AI28">
        <v>37</v>
      </c>
      <c r="AJ28" t="s">
        <v>119</v>
      </c>
      <c r="AK28" t="s">
        <v>69</v>
      </c>
      <c r="AL28" t="s">
        <v>120</v>
      </c>
      <c r="AM28" t="s">
        <v>69</v>
      </c>
      <c r="AN28">
        <v>147.131</v>
      </c>
      <c r="AO28" t="s">
        <v>69</v>
      </c>
      <c r="AP28" t="s">
        <v>69</v>
      </c>
      <c r="AQ28">
        <v>45</v>
      </c>
      <c r="AR28" t="s">
        <v>72</v>
      </c>
      <c r="AS28" t="s">
        <v>69</v>
      </c>
      <c r="AT28" t="s">
        <v>71</v>
      </c>
      <c r="AU28" t="s">
        <v>69</v>
      </c>
      <c r="AV28">
        <v>131.17500000000001</v>
      </c>
      <c r="AW28" t="s">
        <v>69</v>
      </c>
      <c r="AX28" t="s">
        <v>69</v>
      </c>
      <c r="AY28">
        <v>79</v>
      </c>
      <c r="AZ28" t="s">
        <v>145</v>
      </c>
      <c r="BA28" t="s">
        <v>153</v>
      </c>
      <c r="BB28" t="s">
        <v>71</v>
      </c>
      <c r="BC28" t="s">
        <v>69</v>
      </c>
      <c r="BD28">
        <v>131.17500000000001</v>
      </c>
      <c r="BE28" t="s">
        <v>69</v>
      </c>
      <c r="BF28" t="s">
        <v>69</v>
      </c>
      <c r="BG28">
        <v>82</v>
      </c>
      <c r="BH28" t="s">
        <v>153</v>
      </c>
      <c r="BI28" t="s">
        <v>153</v>
      </c>
      <c r="BJ28" t="s">
        <v>148</v>
      </c>
      <c r="BK28" t="s">
        <v>153</v>
      </c>
      <c r="BL28">
        <v>132.119</v>
      </c>
      <c r="BM28" t="s">
        <v>69</v>
      </c>
      <c r="BN28" t="s">
        <v>69</v>
      </c>
      <c r="BO28">
        <v>330</v>
      </c>
      <c r="BP28" t="s">
        <v>153</v>
      </c>
      <c r="BQ28" t="s">
        <v>69</v>
      </c>
      <c r="BR28" t="s">
        <v>148</v>
      </c>
      <c r="BS28" t="s">
        <v>69</v>
      </c>
      <c r="BT28">
        <v>132.119</v>
      </c>
      <c r="BU28" t="s">
        <v>69</v>
      </c>
      <c r="BV28" t="s">
        <v>69</v>
      </c>
      <c r="BW28">
        <v>354</v>
      </c>
      <c r="BX28" t="s">
        <v>70</v>
      </c>
      <c r="BY28" t="s">
        <v>69</v>
      </c>
      <c r="BZ28" t="s">
        <v>71</v>
      </c>
      <c r="CA28" t="s">
        <v>69</v>
      </c>
      <c r="CB28">
        <v>75.066999999999993</v>
      </c>
      <c r="CC28" t="s">
        <v>69</v>
      </c>
      <c r="CD28" t="s">
        <v>69</v>
      </c>
      <c r="CE28">
        <v>355</v>
      </c>
      <c r="CF28" t="s">
        <v>156</v>
      </c>
      <c r="CG28" t="s">
        <v>69</v>
      </c>
      <c r="CH28" t="s">
        <v>120</v>
      </c>
      <c r="CI28" t="s">
        <v>69</v>
      </c>
      <c r="CJ28">
        <v>133.10400000000001</v>
      </c>
      <c r="CK28" t="s">
        <v>69</v>
      </c>
      <c r="CL28" t="s">
        <v>69</v>
      </c>
      <c r="CM28">
        <v>357</v>
      </c>
      <c r="CN28" t="s">
        <v>74</v>
      </c>
      <c r="CO28" t="s">
        <v>69</v>
      </c>
      <c r="CP28" t="s">
        <v>75</v>
      </c>
      <c r="CQ28" t="s">
        <v>69</v>
      </c>
      <c r="CR28">
        <v>174.203</v>
      </c>
      <c r="CS28" t="s">
        <v>69</v>
      </c>
      <c r="CT28" t="s">
        <v>69</v>
      </c>
      <c r="CU28">
        <v>393</v>
      </c>
      <c r="CV28" t="s">
        <v>74</v>
      </c>
      <c r="CW28" t="s">
        <v>69</v>
      </c>
      <c r="CX28" t="s">
        <v>75</v>
      </c>
      <c r="CY28" t="s">
        <v>69</v>
      </c>
      <c r="CZ28">
        <v>174.203</v>
      </c>
      <c r="DA28" t="s">
        <v>69</v>
      </c>
      <c r="DB28" t="s">
        <v>69</v>
      </c>
    </row>
    <row r="29" spans="1:106" x14ac:dyDescent="0.25">
      <c r="A29">
        <v>7</v>
      </c>
      <c r="B29" t="str">
        <f>HYPERLINK("http://www.ncbi.nlm.nih.gov/protein/XP_006164754.1","XP_006164754.1")</f>
        <v>XP_006164754.1</v>
      </c>
      <c r="C29">
        <v>59507</v>
      </c>
      <c r="D29" t="str">
        <f>HYPERLINK("http://www.ncbi.nlm.nih.gov/Taxonomy/Browser/wwwtax.cgi?mode=Info&amp;id=246437&amp;lvl=3&amp;lin=f&amp;keep=1&amp;srchmode=1&amp;unlock","246437")</f>
        <v>246437</v>
      </c>
      <c r="E29" t="s">
        <v>66</v>
      </c>
      <c r="F29" t="str">
        <f>HYPERLINK("http://www.ncbi.nlm.nih.gov/Taxonomy/Browser/wwwtax.cgi?mode=Info&amp;id=246437&amp;lvl=3&amp;lin=f&amp;keep=1&amp;srchmode=1&amp;unlock","Tupaia chinensis")</f>
        <v>Tupaia chinensis</v>
      </c>
      <c r="G29" t="s">
        <v>97</v>
      </c>
      <c r="H29" t="str">
        <f>HYPERLINK("http://www.ncbi.nlm.nih.gov/protein/XP_006164754.1","angiotensin-converting enzyme 2")</f>
        <v>angiotensin-converting enzyme 2</v>
      </c>
      <c r="I29" t="s">
        <v>154</v>
      </c>
      <c r="J29" t="s">
        <v>153</v>
      </c>
      <c r="K29">
        <v>27</v>
      </c>
      <c r="L29" t="s">
        <v>115</v>
      </c>
      <c r="M29" t="s">
        <v>153</v>
      </c>
      <c r="N29" t="s">
        <v>71</v>
      </c>
      <c r="O29" t="s">
        <v>153</v>
      </c>
      <c r="P29">
        <v>117.148</v>
      </c>
      <c r="Q29" t="s">
        <v>69</v>
      </c>
      <c r="R29" t="s">
        <v>69</v>
      </c>
      <c r="S29">
        <v>28</v>
      </c>
      <c r="T29" t="s">
        <v>151</v>
      </c>
      <c r="U29" t="s">
        <v>69</v>
      </c>
      <c r="V29" t="s">
        <v>152</v>
      </c>
      <c r="W29" t="s">
        <v>69</v>
      </c>
      <c r="X29">
        <v>165.19200000000001</v>
      </c>
      <c r="Y29" t="s">
        <v>69</v>
      </c>
      <c r="Z29" t="s">
        <v>69</v>
      </c>
      <c r="AA29">
        <v>34</v>
      </c>
      <c r="AB29" t="s">
        <v>145</v>
      </c>
      <c r="AC29" t="s">
        <v>153</v>
      </c>
      <c r="AD29" t="s">
        <v>71</v>
      </c>
      <c r="AE29" t="s">
        <v>153</v>
      </c>
      <c r="AF29">
        <v>131.17500000000001</v>
      </c>
      <c r="AG29" t="s">
        <v>69</v>
      </c>
      <c r="AH29" t="s">
        <v>69</v>
      </c>
      <c r="AI29">
        <v>37</v>
      </c>
      <c r="AJ29" t="s">
        <v>119</v>
      </c>
      <c r="AK29" t="s">
        <v>69</v>
      </c>
      <c r="AL29" t="s">
        <v>120</v>
      </c>
      <c r="AM29" t="s">
        <v>69</v>
      </c>
      <c r="AN29">
        <v>147.131</v>
      </c>
      <c r="AO29" t="s">
        <v>69</v>
      </c>
      <c r="AP29" t="s">
        <v>69</v>
      </c>
      <c r="AQ29">
        <v>45</v>
      </c>
      <c r="AR29" t="s">
        <v>72</v>
      </c>
      <c r="AS29" t="s">
        <v>69</v>
      </c>
      <c r="AT29" t="s">
        <v>71</v>
      </c>
      <c r="AU29" t="s">
        <v>69</v>
      </c>
      <c r="AV29">
        <v>131.17500000000001</v>
      </c>
      <c r="AW29" t="s">
        <v>69</v>
      </c>
      <c r="AX29" t="s">
        <v>69</v>
      </c>
      <c r="AY29">
        <v>79</v>
      </c>
      <c r="AZ29" t="s">
        <v>147</v>
      </c>
      <c r="BA29" t="s">
        <v>153</v>
      </c>
      <c r="BB29" t="s">
        <v>148</v>
      </c>
      <c r="BC29" t="s">
        <v>153</v>
      </c>
      <c r="BD29">
        <v>146.14599999999999</v>
      </c>
      <c r="BE29" t="s">
        <v>69</v>
      </c>
      <c r="BF29" t="s">
        <v>69</v>
      </c>
      <c r="BG29">
        <v>82</v>
      </c>
      <c r="BH29" t="s">
        <v>74</v>
      </c>
      <c r="BI29" t="s">
        <v>153</v>
      </c>
      <c r="BJ29" t="s">
        <v>75</v>
      </c>
      <c r="BK29" t="s">
        <v>153</v>
      </c>
      <c r="BL29">
        <v>174.203</v>
      </c>
      <c r="BM29" t="s">
        <v>69</v>
      </c>
      <c r="BN29" t="s">
        <v>69</v>
      </c>
      <c r="BO29">
        <v>330</v>
      </c>
      <c r="BP29" t="s">
        <v>76</v>
      </c>
      <c r="BQ29" t="s">
        <v>153</v>
      </c>
      <c r="BR29" t="s">
        <v>75</v>
      </c>
      <c r="BS29" t="s">
        <v>153</v>
      </c>
      <c r="BT29">
        <v>146.18899999999999</v>
      </c>
      <c r="BU29" t="s">
        <v>69</v>
      </c>
      <c r="BV29" t="s">
        <v>69</v>
      </c>
      <c r="BW29">
        <v>354</v>
      </c>
      <c r="BX29" t="s">
        <v>153</v>
      </c>
      <c r="BY29" t="s">
        <v>153</v>
      </c>
      <c r="BZ29" t="s">
        <v>148</v>
      </c>
      <c r="CA29" t="s">
        <v>153</v>
      </c>
      <c r="CB29">
        <v>132.119</v>
      </c>
      <c r="CC29" t="s">
        <v>153</v>
      </c>
      <c r="CD29" t="s">
        <v>153</v>
      </c>
      <c r="CE29">
        <v>355</v>
      </c>
      <c r="CF29" t="s">
        <v>156</v>
      </c>
      <c r="CG29" t="s">
        <v>69</v>
      </c>
      <c r="CH29" t="s">
        <v>120</v>
      </c>
      <c r="CI29" t="s">
        <v>69</v>
      </c>
      <c r="CJ29">
        <v>133.10400000000001</v>
      </c>
      <c r="CK29" t="s">
        <v>69</v>
      </c>
      <c r="CL29" t="s">
        <v>69</v>
      </c>
      <c r="CM29">
        <v>357</v>
      </c>
      <c r="CN29" t="s">
        <v>74</v>
      </c>
      <c r="CO29" t="s">
        <v>69</v>
      </c>
      <c r="CP29" t="s">
        <v>75</v>
      </c>
      <c r="CQ29" t="s">
        <v>69</v>
      </c>
      <c r="CR29">
        <v>174.203</v>
      </c>
      <c r="CS29" t="s">
        <v>69</v>
      </c>
      <c r="CT29" t="s">
        <v>69</v>
      </c>
      <c r="CU29">
        <v>393</v>
      </c>
      <c r="CV29" t="s">
        <v>74</v>
      </c>
      <c r="CW29" t="s">
        <v>69</v>
      </c>
      <c r="CX29" t="s">
        <v>75</v>
      </c>
      <c r="CY29" t="s">
        <v>69</v>
      </c>
      <c r="CZ29">
        <v>174.203</v>
      </c>
      <c r="DA29" t="s">
        <v>69</v>
      </c>
      <c r="DB29" t="s">
        <v>69</v>
      </c>
    </row>
    <row r="30" spans="1:106" x14ac:dyDescent="0.25">
      <c r="A30">
        <v>7</v>
      </c>
      <c r="B30" t="str">
        <f>HYPERLINK("http://www.ncbi.nlm.nih.gov/protein/XP_015974412.2","XP_015974412.2")</f>
        <v>XP_015974412.2</v>
      </c>
      <c r="C30">
        <v>117142</v>
      </c>
      <c r="D30" t="str">
        <f>HYPERLINK("http://www.ncbi.nlm.nih.gov/Taxonomy/Browser/wwwtax.cgi?mode=Info&amp;id=9407&amp;lvl=3&amp;lin=f&amp;keep=1&amp;srchmode=1&amp;unlock","9407")</f>
        <v>9407</v>
      </c>
      <c r="E30" t="s">
        <v>66</v>
      </c>
      <c r="F30" t="str">
        <f>HYPERLINK("http://www.ncbi.nlm.nih.gov/Taxonomy/Browser/wwwtax.cgi?mode=Info&amp;id=9407&amp;lvl=3&amp;lin=f&amp;keep=1&amp;srchmode=1&amp;unlock","Rousettus aegyptiacus")</f>
        <v>Rousettus aegyptiacus</v>
      </c>
      <c r="G30" t="s">
        <v>103</v>
      </c>
      <c r="H30" t="str">
        <f>HYPERLINK("http://www.ncbi.nlm.nih.gov/protein/XP_015974412.2","angiotensin-converting enzyme 2")</f>
        <v>angiotensin-converting enzyme 2</v>
      </c>
      <c r="I30" t="s">
        <v>154</v>
      </c>
      <c r="J30" t="s">
        <v>153</v>
      </c>
      <c r="K30">
        <v>27</v>
      </c>
      <c r="L30" t="s">
        <v>149</v>
      </c>
      <c r="M30" t="s">
        <v>69</v>
      </c>
      <c r="N30" t="s">
        <v>150</v>
      </c>
      <c r="O30" t="s">
        <v>69</v>
      </c>
      <c r="P30">
        <v>119.119</v>
      </c>
      <c r="Q30" t="s">
        <v>69</v>
      </c>
      <c r="R30" t="s">
        <v>69</v>
      </c>
      <c r="S30">
        <v>28</v>
      </c>
      <c r="T30" t="s">
        <v>151</v>
      </c>
      <c r="U30" t="s">
        <v>69</v>
      </c>
      <c r="V30" t="s">
        <v>152</v>
      </c>
      <c r="W30" t="s">
        <v>69</v>
      </c>
      <c r="X30">
        <v>165.19200000000001</v>
      </c>
      <c r="Y30" t="s">
        <v>69</v>
      </c>
      <c r="Z30" t="s">
        <v>69</v>
      </c>
      <c r="AA30">
        <v>34</v>
      </c>
      <c r="AB30" t="s">
        <v>149</v>
      </c>
      <c r="AC30" t="s">
        <v>153</v>
      </c>
      <c r="AD30" t="s">
        <v>150</v>
      </c>
      <c r="AE30" t="s">
        <v>153</v>
      </c>
      <c r="AF30">
        <v>119.119</v>
      </c>
      <c r="AG30" t="s">
        <v>153</v>
      </c>
      <c r="AH30" t="s">
        <v>153</v>
      </c>
      <c r="AI30">
        <v>37</v>
      </c>
      <c r="AJ30" t="s">
        <v>119</v>
      </c>
      <c r="AK30" t="s">
        <v>69</v>
      </c>
      <c r="AL30" t="s">
        <v>120</v>
      </c>
      <c r="AM30" t="s">
        <v>69</v>
      </c>
      <c r="AN30">
        <v>147.131</v>
      </c>
      <c r="AO30" t="s">
        <v>69</v>
      </c>
      <c r="AP30" t="s">
        <v>69</v>
      </c>
      <c r="AQ30">
        <v>45</v>
      </c>
      <c r="AR30" t="s">
        <v>72</v>
      </c>
      <c r="AS30" t="s">
        <v>69</v>
      </c>
      <c r="AT30" t="s">
        <v>71</v>
      </c>
      <c r="AU30" t="s">
        <v>69</v>
      </c>
      <c r="AV30">
        <v>131.17500000000001</v>
      </c>
      <c r="AW30" t="s">
        <v>69</v>
      </c>
      <c r="AX30" t="s">
        <v>69</v>
      </c>
      <c r="AY30">
        <v>79</v>
      </c>
      <c r="AZ30" t="s">
        <v>72</v>
      </c>
      <c r="BA30" t="s">
        <v>69</v>
      </c>
      <c r="BB30" t="s">
        <v>71</v>
      </c>
      <c r="BC30" t="s">
        <v>69</v>
      </c>
      <c r="BD30">
        <v>131.17500000000001</v>
      </c>
      <c r="BE30" t="s">
        <v>69</v>
      </c>
      <c r="BF30" t="s">
        <v>69</v>
      </c>
      <c r="BG30">
        <v>82</v>
      </c>
      <c r="BH30" t="s">
        <v>149</v>
      </c>
      <c r="BI30" t="s">
        <v>153</v>
      </c>
      <c r="BJ30" t="s">
        <v>150</v>
      </c>
      <c r="BK30" t="s">
        <v>153</v>
      </c>
      <c r="BL30">
        <v>119.119</v>
      </c>
      <c r="BM30" t="s">
        <v>153</v>
      </c>
      <c r="BN30" t="s">
        <v>153</v>
      </c>
      <c r="BO30">
        <v>330</v>
      </c>
      <c r="BP30" t="s">
        <v>76</v>
      </c>
      <c r="BQ30" t="s">
        <v>153</v>
      </c>
      <c r="BR30" t="s">
        <v>75</v>
      </c>
      <c r="BS30" t="s">
        <v>153</v>
      </c>
      <c r="BT30">
        <v>146.18899999999999</v>
      </c>
      <c r="BU30" t="s">
        <v>69</v>
      </c>
      <c r="BV30" t="s">
        <v>69</v>
      </c>
      <c r="BW30">
        <v>354</v>
      </c>
      <c r="BX30" t="s">
        <v>70</v>
      </c>
      <c r="BY30" t="s">
        <v>69</v>
      </c>
      <c r="BZ30" t="s">
        <v>71</v>
      </c>
      <c r="CA30" t="s">
        <v>69</v>
      </c>
      <c r="CB30">
        <v>75.066999999999993</v>
      </c>
      <c r="CC30" t="s">
        <v>69</v>
      </c>
      <c r="CD30" t="s">
        <v>69</v>
      </c>
      <c r="CE30">
        <v>355</v>
      </c>
      <c r="CF30" t="s">
        <v>156</v>
      </c>
      <c r="CG30" t="s">
        <v>69</v>
      </c>
      <c r="CH30" t="s">
        <v>120</v>
      </c>
      <c r="CI30" t="s">
        <v>69</v>
      </c>
      <c r="CJ30">
        <v>133.10400000000001</v>
      </c>
      <c r="CK30" t="s">
        <v>69</v>
      </c>
      <c r="CL30" t="s">
        <v>69</v>
      </c>
      <c r="CM30">
        <v>357</v>
      </c>
      <c r="CN30" t="s">
        <v>74</v>
      </c>
      <c r="CO30" t="s">
        <v>69</v>
      </c>
      <c r="CP30" t="s">
        <v>75</v>
      </c>
      <c r="CQ30" t="s">
        <v>69</v>
      </c>
      <c r="CR30">
        <v>174.203</v>
      </c>
      <c r="CS30" t="s">
        <v>69</v>
      </c>
      <c r="CT30" t="s">
        <v>69</v>
      </c>
      <c r="CU30">
        <v>393</v>
      </c>
      <c r="CV30" t="s">
        <v>74</v>
      </c>
      <c r="CW30" t="s">
        <v>69</v>
      </c>
      <c r="CX30" t="s">
        <v>75</v>
      </c>
      <c r="CY30" t="s">
        <v>69</v>
      </c>
      <c r="CZ30">
        <v>174.203</v>
      </c>
      <c r="DA30" t="s">
        <v>69</v>
      </c>
      <c r="DB30" t="s">
        <v>69</v>
      </c>
    </row>
    <row r="31" spans="1:106" x14ac:dyDescent="0.25">
      <c r="A31">
        <v>7</v>
      </c>
      <c r="B31" t="str">
        <f>HYPERLINK("http://www.ncbi.nlm.nih.gov/protein/XP_020768965.1","XP_020768965.1")</f>
        <v>XP_020768965.1</v>
      </c>
      <c r="C31">
        <v>48218</v>
      </c>
      <c r="D31" t="str">
        <f>HYPERLINK("http://www.ncbi.nlm.nih.gov/Taxonomy/Browser/wwwtax.cgi?mode=Info&amp;id=9880&amp;lvl=3&amp;lin=f&amp;keep=1&amp;srchmode=1&amp;unlock","9880")</f>
        <v>9880</v>
      </c>
      <c r="E31" t="s">
        <v>66</v>
      </c>
      <c r="F31" t="str">
        <f>HYPERLINK("http://www.ncbi.nlm.nih.gov/Taxonomy/Browser/wwwtax.cgi?mode=Info&amp;id=9880&amp;lvl=3&amp;lin=f&amp;keep=1&amp;srchmode=1&amp;unlock","Odocoileus virginianus texanus")</f>
        <v>Odocoileus virginianus texanus</v>
      </c>
      <c r="G31" t="s">
        <v>81</v>
      </c>
      <c r="H31" t="str">
        <f>HYPERLINK("http://www.ncbi.nlm.nih.gov/protein/XP_020768965.1","angiotensin-converting enzyme 2")</f>
        <v>angiotensin-converting enzyme 2</v>
      </c>
      <c r="I31" t="s">
        <v>154</v>
      </c>
      <c r="J31" t="s">
        <v>153</v>
      </c>
      <c r="K31">
        <v>27</v>
      </c>
      <c r="L31" t="s">
        <v>149</v>
      </c>
      <c r="M31" t="s">
        <v>69</v>
      </c>
      <c r="N31" t="s">
        <v>150</v>
      </c>
      <c r="O31" t="s">
        <v>69</v>
      </c>
      <c r="P31">
        <v>119.119</v>
      </c>
      <c r="Q31" t="s">
        <v>69</v>
      </c>
      <c r="R31" t="s">
        <v>69</v>
      </c>
      <c r="S31">
        <v>28</v>
      </c>
      <c r="T31" t="s">
        <v>151</v>
      </c>
      <c r="U31" t="s">
        <v>69</v>
      </c>
      <c r="V31" t="s">
        <v>152</v>
      </c>
      <c r="W31" t="s">
        <v>69</v>
      </c>
      <c r="X31">
        <v>165.19200000000001</v>
      </c>
      <c r="Y31" t="s">
        <v>69</v>
      </c>
      <c r="Z31" t="s">
        <v>69</v>
      </c>
      <c r="AA31">
        <v>34</v>
      </c>
      <c r="AB31" t="s">
        <v>157</v>
      </c>
      <c r="AC31" t="s">
        <v>69</v>
      </c>
      <c r="AD31" t="s">
        <v>75</v>
      </c>
      <c r="AE31" t="s">
        <v>69</v>
      </c>
      <c r="AF31">
        <v>155.15600000000001</v>
      </c>
      <c r="AG31" t="s">
        <v>69</v>
      </c>
      <c r="AH31" t="s">
        <v>69</v>
      </c>
      <c r="AI31">
        <v>37</v>
      </c>
      <c r="AJ31" t="s">
        <v>119</v>
      </c>
      <c r="AK31" t="s">
        <v>69</v>
      </c>
      <c r="AL31" t="s">
        <v>120</v>
      </c>
      <c r="AM31" t="s">
        <v>69</v>
      </c>
      <c r="AN31">
        <v>147.131</v>
      </c>
      <c r="AO31" t="s">
        <v>69</v>
      </c>
      <c r="AP31" t="s">
        <v>69</v>
      </c>
      <c r="AQ31">
        <v>45</v>
      </c>
      <c r="AR31" t="s">
        <v>72</v>
      </c>
      <c r="AS31" t="s">
        <v>69</v>
      </c>
      <c r="AT31" t="s">
        <v>71</v>
      </c>
      <c r="AU31" t="s">
        <v>69</v>
      </c>
      <c r="AV31">
        <v>131.17500000000001</v>
      </c>
      <c r="AW31" t="s">
        <v>69</v>
      </c>
      <c r="AX31" t="s">
        <v>69</v>
      </c>
      <c r="AY31">
        <v>79</v>
      </c>
      <c r="AZ31" t="s">
        <v>116</v>
      </c>
      <c r="BA31" t="s">
        <v>153</v>
      </c>
      <c r="BB31" t="s">
        <v>117</v>
      </c>
      <c r="BC31" t="s">
        <v>153</v>
      </c>
      <c r="BD31">
        <v>149.208</v>
      </c>
      <c r="BE31" t="s">
        <v>69</v>
      </c>
      <c r="BF31" t="s">
        <v>69</v>
      </c>
      <c r="BG31">
        <v>82</v>
      </c>
      <c r="BH31" t="s">
        <v>149</v>
      </c>
      <c r="BI31" t="s">
        <v>153</v>
      </c>
      <c r="BJ31" t="s">
        <v>150</v>
      </c>
      <c r="BK31" t="s">
        <v>153</v>
      </c>
      <c r="BL31">
        <v>119.119</v>
      </c>
      <c r="BM31" t="s">
        <v>153</v>
      </c>
      <c r="BN31" t="s">
        <v>153</v>
      </c>
      <c r="BO31">
        <v>329</v>
      </c>
      <c r="BP31" t="s">
        <v>153</v>
      </c>
      <c r="BQ31" t="s">
        <v>69</v>
      </c>
      <c r="BR31" t="s">
        <v>148</v>
      </c>
      <c r="BS31" t="s">
        <v>69</v>
      </c>
      <c r="BT31">
        <v>132.119</v>
      </c>
      <c r="BU31" t="s">
        <v>69</v>
      </c>
      <c r="BV31" t="s">
        <v>69</v>
      </c>
      <c r="BW31">
        <v>353</v>
      </c>
      <c r="BX31" t="s">
        <v>70</v>
      </c>
      <c r="BY31" t="s">
        <v>69</v>
      </c>
      <c r="BZ31" t="s">
        <v>71</v>
      </c>
      <c r="CA31" t="s">
        <v>69</v>
      </c>
      <c r="CB31">
        <v>75.066999999999993</v>
      </c>
      <c r="CC31" t="s">
        <v>69</v>
      </c>
      <c r="CD31" t="s">
        <v>69</v>
      </c>
      <c r="CE31">
        <v>354</v>
      </c>
      <c r="CF31" t="s">
        <v>156</v>
      </c>
      <c r="CG31" t="s">
        <v>69</v>
      </c>
      <c r="CH31" t="s">
        <v>120</v>
      </c>
      <c r="CI31" t="s">
        <v>69</v>
      </c>
      <c r="CJ31">
        <v>133.10400000000001</v>
      </c>
      <c r="CK31" t="s">
        <v>69</v>
      </c>
      <c r="CL31" t="s">
        <v>69</v>
      </c>
      <c r="CM31">
        <v>356</v>
      </c>
      <c r="CN31" t="s">
        <v>74</v>
      </c>
      <c r="CO31" t="s">
        <v>69</v>
      </c>
      <c r="CP31" t="s">
        <v>75</v>
      </c>
      <c r="CQ31" t="s">
        <v>69</v>
      </c>
      <c r="CR31">
        <v>174.203</v>
      </c>
      <c r="CS31" t="s">
        <v>69</v>
      </c>
      <c r="CT31" t="s">
        <v>69</v>
      </c>
      <c r="CU31">
        <v>392</v>
      </c>
      <c r="CV31" t="s">
        <v>74</v>
      </c>
      <c r="CW31" t="s">
        <v>69</v>
      </c>
      <c r="CX31" t="s">
        <v>75</v>
      </c>
      <c r="CY31" t="s">
        <v>69</v>
      </c>
      <c r="CZ31">
        <v>174.203</v>
      </c>
      <c r="DA31" t="s">
        <v>69</v>
      </c>
      <c r="DB31" t="s">
        <v>69</v>
      </c>
    </row>
    <row r="32" spans="1:106" x14ac:dyDescent="0.25">
      <c r="A32">
        <v>7</v>
      </c>
      <c r="B32" t="str">
        <f>HYPERLINK("http://www.ncbi.nlm.nih.gov/protein/XP_025066628.1","XP_025066628.1")</f>
        <v>XP_025066628.1</v>
      </c>
      <c r="C32">
        <v>43404</v>
      </c>
      <c r="D32" t="str">
        <f>HYPERLINK("http://www.ncbi.nlm.nih.gov/Taxonomy/Browser/wwwtax.cgi?mode=Info&amp;id=38654&amp;lvl=3&amp;lin=f&amp;keep=1&amp;srchmode=1&amp;unlock","38654")</f>
        <v>38654</v>
      </c>
      <c r="E32" t="s">
        <v>109</v>
      </c>
      <c r="F32" t="str">
        <f>HYPERLINK("http://www.ncbi.nlm.nih.gov/Taxonomy/Browser/wwwtax.cgi?mode=Info&amp;id=38654&amp;lvl=3&amp;lin=f&amp;keep=1&amp;srchmode=1&amp;unlock","Alligator sinensis")</f>
        <v>Alligator sinensis</v>
      </c>
      <c r="G32" t="s">
        <v>110</v>
      </c>
      <c r="H32" t="str">
        <f>HYPERLINK("http://www.ncbi.nlm.nih.gov/protein/XP_025066628.1","angiotensin-converting enzyme 2 isoform X1")</f>
        <v>angiotensin-converting enzyme 2 isoform X1</v>
      </c>
      <c r="I32" t="s">
        <v>154</v>
      </c>
      <c r="J32" t="s">
        <v>153</v>
      </c>
      <c r="K32">
        <v>22</v>
      </c>
      <c r="L32" t="s">
        <v>149</v>
      </c>
      <c r="M32" t="s">
        <v>69</v>
      </c>
      <c r="N32" t="s">
        <v>150</v>
      </c>
      <c r="O32" t="s">
        <v>69</v>
      </c>
      <c r="P32">
        <v>119.119</v>
      </c>
      <c r="Q32" t="s">
        <v>69</v>
      </c>
      <c r="R32" t="s">
        <v>69</v>
      </c>
      <c r="S32">
        <v>23</v>
      </c>
      <c r="T32" t="s">
        <v>151</v>
      </c>
      <c r="U32" t="s">
        <v>69</v>
      </c>
      <c r="V32" t="s">
        <v>152</v>
      </c>
      <c r="W32" t="s">
        <v>69</v>
      </c>
      <c r="X32">
        <v>165.19200000000001</v>
      </c>
      <c r="Y32" t="s">
        <v>69</v>
      </c>
      <c r="Z32" t="s">
        <v>69</v>
      </c>
      <c r="AA32">
        <v>29</v>
      </c>
      <c r="AB32" t="s">
        <v>147</v>
      </c>
      <c r="AC32" t="s">
        <v>153</v>
      </c>
      <c r="AD32" t="s">
        <v>148</v>
      </c>
      <c r="AE32" t="s">
        <v>153</v>
      </c>
      <c r="AF32">
        <v>146.14599999999999</v>
      </c>
      <c r="AG32" t="s">
        <v>69</v>
      </c>
      <c r="AH32" t="s">
        <v>69</v>
      </c>
      <c r="AI32">
        <v>32</v>
      </c>
      <c r="AJ32" t="s">
        <v>119</v>
      </c>
      <c r="AK32" t="s">
        <v>69</v>
      </c>
      <c r="AL32" t="s">
        <v>120</v>
      </c>
      <c r="AM32" t="s">
        <v>69</v>
      </c>
      <c r="AN32">
        <v>147.131</v>
      </c>
      <c r="AO32" t="s">
        <v>69</v>
      </c>
      <c r="AP32" t="s">
        <v>69</v>
      </c>
      <c r="AQ32">
        <v>40</v>
      </c>
      <c r="AR32" t="s">
        <v>72</v>
      </c>
      <c r="AS32" t="s">
        <v>69</v>
      </c>
      <c r="AT32" t="s">
        <v>71</v>
      </c>
      <c r="AU32" t="s">
        <v>69</v>
      </c>
      <c r="AV32">
        <v>131.17500000000001</v>
      </c>
      <c r="AW32" t="s">
        <v>69</v>
      </c>
      <c r="AX32" t="s">
        <v>69</v>
      </c>
      <c r="AY32">
        <v>74</v>
      </c>
      <c r="AZ32" t="s">
        <v>153</v>
      </c>
      <c r="BA32" t="s">
        <v>153</v>
      </c>
      <c r="BB32" t="s">
        <v>148</v>
      </c>
      <c r="BC32" t="s">
        <v>153</v>
      </c>
      <c r="BD32">
        <v>132.119</v>
      </c>
      <c r="BE32" t="s">
        <v>69</v>
      </c>
      <c r="BF32" t="s">
        <v>69</v>
      </c>
      <c r="BG32">
        <v>77</v>
      </c>
      <c r="BH32" t="s">
        <v>76</v>
      </c>
      <c r="BI32" t="s">
        <v>153</v>
      </c>
      <c r="BJ32" t="s">
        <v>75</v>
      </c>
      <c r="BK32" t="s">
        <v>153</v>
      </c>
      <c r="BL32">
        <v>146.18899999999999</v>
      </c>
      <c r="BM32" t="s">
        <v>69</v>
      </c>
      <c r="BN32" t="s">
        <v>69</v>
      </c>
      <c r="BO32">
        <v>326</v>
      </c>
      <c r="BP32" t="s">
        <v>153</v>
      </c>
      <c r="BQ32" t="s">
        <v>69</v>
      </c>
      <c r="BR32" t="s">
        <v>148</v>
      </c>
      <c r="BS32" t="s">
        <v>69</v>
      </c>
      <c r="BT32">
        <v>132.119</v>
      </c>
      <c r="BU32" t="s">
        <v>69</v>
      </c>
      <c r="BV32" t="s">
        <v>69</v>
      </c>
      <c r="BW32">
        <v>349</v>
      </c>
      <c r="BX32" t="s">
        <v>76</v>
      </c>
      <c r="BY32" t="s">
        <v>153</v>
      </c>
      <c r="BZ32" t="s">
        <v>75</v>
      </c>
      <c r="CA32" t="s">
        <v>153</v>
      </c>
      <c r="CB32">
        <v>146.18899999999999</v>
      </c>
      <c r="CC32" t="s">
        <v>153</v>
      </c>
      <c r="CD32" t="s">
        <v>153</v>
      </c>
      <c r="CE32">
        <v>350</v>
      </c>
      <c r="CF32" t="s">
        <v>156</v>
      </c>
      <c r="CG32" t="s">
        <v>69</v>
      </c>
      <c r="CH32" t="s">
        <v>120</v>
      </c>
      <c r="CI32" t="s">
        <v>69</v>
      </c>
      <c r="CJ32">
        <v>133.10400000000001</v>
      </c>
      <c r="CK32" t="s">
        <v>69</v>
      </c>
      <c r="CL32" t="s">
        <v>69</v>
      </c>
      <c r="CM32">
        <v>352</v>
      </c>
      <c r="CN32" t="s">
        <v>74</v>
      </c>
      <c r="CO32" t="s">
        <v>69</v>
      </c>
      <c r="CP32" t="s">
        <v>75</v>
      </c>
      <c r="CQ32" t="s">
        <v>69</v>
      </c>
      <c r="CR32">
        <v>174.203</v>
      </c>
      <c r="CS32" t="s">
        <v>69</v>
      </c>
      <c r="CT32" t="s">
        <v>69</v>
      </c>
      <c r="CU32">
        <v>388</v>
      </c>
      <c r="CV32" t="s">
        <v>74</v>
      </c>
      <c r="CW32" t="s">
        <v>69</v>
      </c>
      <c r="CX32" t="s">
        <v>75</v>
      </c>
      <c r="CY32" t="s">
        <v>69</v>
      </c>
      <c r="CZ32">
        <v>174.203</v>
      </c>
      <c r="DA32" t="s">
        <v>69</v>
      </c>
      <c r="DB32" t="s">
        <v>69</v>
      </c>
    </row>
    <row r="33" spans="1:106" x14ac:dyDescent="0.25">
      <c r="A33">
        <v>7</v>
      </c>
      <c r="B33" t="str">
        <f>HYPERLINK("http://www.ncbi.nlm.nih.gov/protein/XP_018104311.1","XP_018104311.1")</f>
        <v>XP_018104311.1</v>
      </c>
      <c r="C33">
        <v>146185</v>
      </c>
      <c r="D33" t="str">
        <f>HYPERLINK("http://www.ncbi.nlm.nih.gov/Taxonomy/Browser/wwwtax.cgi?mode=Info&amp;id=8355&amp;lvl=3&amp;lin=f&amp;keep=1&amp;srchmode=1&amp;unlock","8355")</f>
        <v>8355</v>
      </c>
      <c r="E33" t="s">
        <v>111</v>
      </c>
      <c r="F33" t="str">
        <f>HYPERLINK("http://www.ncbi.nlm.nih.gov/Taxonomy/Browser/wwwtax.cgi?mode=Info&amp;id=8355&amp;lvl=3&amp;lin=f&amp;keep=1&amp;srchmode=1&amp;unlock","Xenopus laevis")</f>
        <v>Xenopus laevis</v>
      </c>
      <c r="G33" t="s">
        <v>112</v>
      </c>
      <c r="H33" t="str">
        <f>HYPERLINK("http://www.ncbi.nlm.nih.gov/protein/XP_018104311.1","angiotensin-converting enzyme 2")</f>
        <v>angiotensin-converting enzyme 2</v>
      </c>
      <c r="I33" t="s">
        <v>154</v>
      </c>
      <c r="J33" t="s">
        <v>153</v>
      </c>
      <c r="K33">
        <v>28</v>
      </c>
      <c r="L33" t="s">
        <v>156</v>
      </c>
      <c r="M33" t="s">
        <v>153</v>
      </c>
      <c r="N33" t="s">
        <v>120</v>
      </c>
      <c r="O33" t="s">
        <v>153</v>
      </c>
      <c r="P33">
        <v>133.10400000000001</v>
      </c>
      <c r="Q33" t="s">
        <v>69</v>
      </c>
      <c r="R33" t="s">
        <v>69</v>
      </c>
      <c r="S33">
        <v>29</v>
      </c>
      <c r="T33" t="s">
        <v>151</v>
      </c>
      <c r="U33" t="s">
        <v>69</v>
      </c>
      <c r="V33" t="s">
        <v>152</v>
      </c>
      <c r="W33" t="s">
        <v>69</v>
      </c>
      <c r="X33">
        <v>165.19200000000001</v>
      </c>
      <c r="Y33" t="s">
        <v>69</v>
      </c>
      <c r="Z33" t="s">
        <v>69</v>
      </c>
      <c r="AA33">
        <v>35</v>
      </c>
      <c r="AB33" t="s">
        <v>72</v>
      </c>
      <c r="AC33" t="s">
        <v>153</v>
      </c>
      <c r="AD33" t="s">
        <v>71</v>
      </c>
      <c r="AE33" t="s">
        <v>153</v>
      </c>
      <c r="AF33">
        <v>131.17500000000001</v>
      </c>
      <c r="AG33" t="s">
        <v>69</v>
      </c>
      <c r="AH33" t="s">
        <v>69</v>
      </c>
      <c r="AI33">
        <v>38</v>
      </c>
      <c r="AJ33" t="s">
        <v>119</v>
      </c>
      <c r="AK33" t="s">
        <v>69</v>
      </c>
      <c r="AL33" t="s">
        <v>120</v>
      </c>
      <c r="AM33" t="s">
        <v>69</v>
      </c>
      <c r="AN33">
        <v>147.131</v>
      </c>
      <c r="AO33" t="s">
        <v>69</v>
      </c>
      <c r="AP33" t="s">
        <v>69</v>
      </c>
      <c r="AQ33">
        <v>46</v>
      </c>
      <c r="AR33" t="s">
        <v>72</v>
      </c>
      <c r="AS33" t="s">
        <v>69</v>
      </c>
      <c r="AT33" t="s">
        <v>71</v>
      </c>
      <c r="AU33" t="s">
        <v>69</v>
      </c>
      <c r="AV33">
        <v>131.17500000000001</v>
      </c>
      <c r="AW33" t="s">
        <v>69</v>
      </c>
      <c r="AX33" t="s">
        <v>69</v>
      </c>
      <c r="AY33">
        <v>80</v>
      </c>
      <c r="AZ33" t="s">
        <v>73</v>
      </c>
      <c r="BA33" t="s">
        <v>153</v>
      </c>
      <c r="BB33" t="s">
        <v>71</v>
      </c>
      <c r="BC33" t="s">
        <v>69</v>
      </c>
      <c r="BD33">
        <v>89.093999999999994</v>
      </c>
      <c r="BE33" t="s">
        <v>153</v>
      </c>
      <c r="BF33" t="s">
        <v>69</v>
      </c>
      <c r="BG33">
        <v>83</v>
      </c>
      <c r="BH33" t="s">
        <v>73</v>
      </c>
      <c r="BI33" t="s">
        <v>153</v>
      </c>
      <c r="BJ33" t="s">
        <v>71</v>
      </c>
      <c r="BK33" t="s">
        <v>153</v>
      </c>
      <c r="BL33">
        <v>89.093999999999994</v>
      </c>
      <c r="BM33" t="s">
        <v>153</v>
      </c>
      <c r="BN33" t="s">
        <v>153</v>
      </c>
      <c r="BO33">
        <v>332</v>
      </c>
      <c r="BP33" t="s">
        <v>153</v>
      </c>
      <c r="BQ33" t="s">
        <v>69</v>
      </c>
      <c r="BR33" t="s">
        <v>148</v>
      </c>
      <c r="BS33" t="s">
        <v>69</v>
      </c>
      <c r="BT33">
        <v>132.119</v>
      </c>
      <c r="BU33" t="s">
        <v>69</v>
      </c>
      <c r="BV33" t="s">
        <v>69</v>
      </c>
      <c r="BW33">
        <v>356</v>
      </c>
      <c r="BX33" t="s">
        <v>153</v>
      </c>
      <c r="BY33" t="s">
        <v>153</v>
      </c>
      <c r="BZ33" t="s">
        <v>148</v>
      </c>
      <c r="CA33" t="s">
        <v>153</v>
      </c>
      <c r="CB33">
        <v>132.119</v>
      </c>
      <c r="CC33" t="s">
        <v>153</v>
      </c>
      <c r="CD33" t="s">
        <v>153</v>
      </c>
      <c r="CE33">
        <v>357</v>
      </c>
      <c r="CF33" t="s">
        <v>156</v>
      </c>
      <c r="CG33" t="s">
        <v>69</v>
      </c>
      <c r="CH33" t="s">
        <v>120</v>
      </c>
      <c r="CI33" t="s">
        <v>69</v>
      </c>
      <c r="CJ33">
        <v>133.10400000000001</v>
      </c>
      <c r="CK33" t="s">
        <v>69</v>
      </c>
      <c r="CL33" t="s">
        <v>69</v>
      </c>
      <c r="CM33">
        <v>359</v>
      </c>
      <c r="CN33" t="s">
        <v>74</v>
      </c>
      <c r="CO33" t="s">
        <v>69</v>
      </c>
      <c r="CP33" t="s">
        <v>75</v>
      </c>
      <c r="CQ33" t="s">
        <v>69</v>
      </c>
      <c r="CR33">
        <v>174.203</v>
      </c>
      <c r="CS33" t="s">
        <v>69</v>
      </c>
      <c r="CT33" t="s">
        <v>69</v>
      </c>
      <c r="CU33">
        <v>395</v>
      </c>
      <c r="CV33" t="s">
        <v>74</v>
      </c>
      <c r="CW33" t="s">
        <v>69</v>
      </c>
      <c r="CX33" t="s">
        <v>75</v>
      </c>
      <c r="CY33" t="s">
        <v>69</v>
      </c>
      <c r="CZ33">
        <v>174.203</v>
      </c>
      <c r="DA33" t="s">
        <v>69</v>
      </c>
      <c r="DB33" t="s">
        <v>69</v>
      </c>
    </row>
    <row r="34" spans="1:106" x14ac:dyDescent="0.25">
      <c r="A34">
        <v>7</v>
      </c>
      <c r="B34" t="str">
        <f>HYPERLINK("http://www.ncbi.nlm.nih.gov/protein/XP_039529758.1","XP_039529758.1")</f>
        <v>XP_039529758.1</v>
      </c>
      <c r="C34">
        <v>96114</v>
      </c>
      <c r="D34" t="str">
        <f>HYPERLINK("http://www.ncbi.nlm.nih.gov/Taxonomy/Browser/wwwtax.cgi?mode=Info&amp;id=90988&amp;lvl=3&amp;lin=f&amp;keep=1&amp;srchmode=1&amp;unlock","90988")</f>
        <v>90988</v>
      </c>
      <c r="E34" t="s">
        <v>113</v>
      </c>
      <c r="F34" t="str">
        <f>HYPERLINK("http://www.ncbi.nlm.nih.gov/Taxonomy/Browser/wwwtax.cgi?mode=Info&amp;id=90988&amp;lvl=3&amp;lin=f&amp;keep=1&amp;srchmode=1&amp;unlock","Pimephales promelas")</f>
        <v>Pimephales promelas</v>
      </c>
      <c r="G34" t="s">
        <v>114</v>
      </c>
      <c r="H34" t="str">
        <f>HYPERLINK("http://www.ncbi.nlm.nih.gov/protein/XP_039529758.1","angiotensin-converting enzyme 2 isoform X2")</f>
        <v>angiotensin-converting enzyme 2 isoform X2</v>
      </c>
      <c r="I34" t="s">
        <v>154</v>
      </c>
      <c r="J34" t="s">
        <v>153</v>
      </c>
      <c r="K34">
        <v>41</v>
      </c>
      <c r="L34" t="s">
        <v>119</v>
      </c>
      <c r="M34" t="s">
        <v>153</v>
      </c>
      <c r="N34" t="s">
        <v>120</v>
      </c>
      <c r="O34" t="s">
        <v>153</v>
      </c>
      <c r="P34">
        <v>147.131</v>
      </c>
      <c r="Q34" t="s">
        <v>69</v>
      </c>
      <c r="R34" t="s">
        <v>69</v>
      </c>
      <c r="S34">
        <v>42</v>
      </c>
      <c r="T34" t="s">
        <v>151</v>
      </c>
      <c r="U34" t="s">
        <v>69</v>
      </c>
      <c r="V34" t="s">
        <v>152</v>
      </c>
      <c r="W34" t="s">
        <v>69</v>
      </c>
      <c r="X34">
        <v>165.19200000000001</v>
      </c>
      <c r="Y34" t="s">
        <v>69</v>
      </c>
      <c r="Z34" t="s">
        <v>69</v>
      </c>
      <c r="AA34">
        <v>48</v>
      </c>
      <c r="AB34" t="s">
        <v>119</v>
      </c>
      <c r="AC34" t="s">
        <v>153</v>
      </c>
      <c r="AD34" t="s">
        <v>120</v>
      </c>
      <c r="AE34" t="s">
        <v>153</v>
      </c>
      <c r="AF34">
        <v>147.131</v>
      </c>
      <c r="AG34" t="s">
        <v>69</v>
      </c>
      <c r="AH34" t="s">
        <v>69</v>
      </c>
      <c r="AI34">
        <v>51</v>
      </c>
      <c r="AJ34" t="s">
        <v>155</v>
      </c>
      <c r="AK34" t="s">
        <v>153</v>
      </c>
      <c r="AL34" t="s">
        <v>150</v>
      </c>
      <c r="AM34" t="s">
        <v>153</v>
      </c>
      <c r="AN34">
        <v>105.093</v>
      </c>
      <c r="AO34" t="s">
        <v>153</v>
      </c>
      <c r="AP34" t="s">
        <v>153</v>
      </c>
      <c r="AQ34">
        <v>59</v>
      </c>
      <c r="AR34" t="s">
        <v>72</v>
      </c>
      <c r="AS34" t="s">
        <v>69</v>
      </c>
      <c r="AT34" t="s">
        <v>71</v>
      </c>
      <c r="AU34" t="s">
        <v>69</v>
      </c>
      <c r="AV34">
        <v>131.17500000000001</v>
      </c>
      <c r="AW34" t="s">
        <v>69</v>
      </c>
      <c r="AX34" t="s">
        <v>69</v>
      </c>
      <c r="AY34">
        <v>93</v>
      </c>
      <c r="AZ34" t="s">
        <v>119</v>
      </c>
      <c r="BA34" t="s">
        <v>153</v>
      </c>
      <c r="BB34" t="s">
        <v>120</v>
      </c>
      <c r="BC34" t="s">
        <v>153</v>
      </c>
      <c r="BD34">
        <v>147.131</v>
      </c>
      <c r="BE34" t="s">
        <v>69</v>
      </c>
      <c r="BF34" t="s">
        <v>69</v>
      </c>
      <c r="BG34">
        <v>96</v>
      </c>
      <c r="BH34" t="s">
        <v>73</v>
      </c>
      <c r="BI34" t="s">
        <v>153</v>
      </c>
      <c r="BJ34" t="s">
        <v>71</v>
      </c>
      <c r="BK34" t="s">
        <v>153</v>
      </c>
      <c r="BL34">
        <v>89.093999999999994</v>
      </c>
      <c r="BM34" t="s">
        <v>153</v>
      </c>
      <c r="BN34" t="s">
        <v>153</v>
      </c>
      <c r="BO34">
        <v>344</v>
      </c>
      <c r="BP34" t="s">
        <v>153</v>
      </c>
      <c r="BQ34" t="s">
        <v>69</v>
      </c>
      <c r="BR34" t="s">
        <v>148</v>
      </c>
      <c r="BS34" t="s">
        <v>69</v>
      </c>
      <c r="BT34">
        <v>132.119</v>
      </c>
      <c r="BU34" t="s">
        <v>69</v>
      </c>
      <c r="BV34" t="s">
        <v>69</v>
      </c>
      <c r="BW34">
        <v>367</v>
      </c>
      <c r="BX34" t="s">
        <v>74</v>
      </c>
      <c r="BY34" t="s">
        <v>153</v>
      </c>
      <c r="BZ34" t="s">
        <v>75</v>
      </c>
      <c r="CA34" t="s">
        <v>153</v>
      </c>
      <c r="CB34">
        <v>174.203</v>
      </c>
      <c r="CC34" t="s">
        <v>153</v>
      </c>
      <c r="CD34" t="s">
        <v>153</v>
      </c>
      <c r="CE34">
        <v>369</v>
      </c>
      <c r="CF34" t="s">
        <v>156</v>
      </c>
      <c r="CG34" t="s">
        <v>69</v>
      </c>
      <c r="CH34" t="s">
        <v>120</v>
      </c>
      <c r="CI34" t="s">
        <v>69</v>
      </c>
      <c r="CJ34">
        <v>133.10400000000001</v>
      </c>
      <c r="CK34" t="s">
        <v>69</v>
      </c>
      <c r="CL34" t="s">
        <v>69</v>
      </c>
      <c r="CM34">
        <v>371</v>
      </c>
      <c r="CN34" t="s">
        <v>74</v>
      </c>
      <c r="CO34" t="s">
        <v>69</v>
      </c>
      <c r="CP34" t="s">
        <v>75</v>
      </c>
      <c r="CQ34" t="s">
        <v>69</v>
      </c>
      <c r="CR34">
        <v>174.203</v>
      </c>
      <c r="CS34" t="s">
        <v>69</v>
      </c>
      <c r="CT34" t="s">
        <v>69</v>
      </c>
      <c r="CU34">
        <v>407</v>
      </c>
      <c r="CV34" t="s">
        <v>74</v>
      </c>
      <c r="CW34" t="s">
        <v>69</v>
      </c>
      <c r="CX34" t="s">
        <v>75</v>
      </c>
      <c r="CY34" t="s">
        <v>69</v>
      </c>
      <c r="CZ34">
        <v>174.203</v>
      </c>
      <c r="DA34" t="s">
        <v>69</v>
      </c>
      <c r="DB34" t="s">
        <v>69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V28"/>
  <sheetViews>
    <sheetView workbookViewId="0"/>
  </sheetViews>
  <sheetFormatPr defaultRowHeight="15" x14ac:dyDescent="0.25"/>
  <cols>
    <col min="8" max="8" width="40.5703125" customWidth="1"/>
  </cols>
  <sheetData>
    <row r="1" spans="1:17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c r="DK1" t="s">
        <v>184</v>
      </c>
      <c r="DL1" t="s">
        <v>185</v>
      </c>
      <c r="DM1" t="s">
        <v>186</v>
      </c>
      <c r="DN1" t="s">
        <v>187</v>
      </c>
      <c r="DO1" t="s">
        <v>188</v>
      </c>
      <c r="DP1" t="s">
        <v>189</v>
      </c>
      <c r="DQ1" t="s">
        <v>190</v>
      </c>
      <c r="DR1" t="s">
        <v>191</v>
      </c>
      <c r="DS1" t="s">
        <v>192</v>
      </c>
      <c r="DT1" t="s">
        <v>193</v>
      </c>
      <c r="DU1" t="s">
        <v>194</v>
      </c>
      <c r="DV1" t="s">
        <v>195</v>
      </c>
      <c r="DW1" t="s">
        <v>196</v>
      </c>
      <c r="DX1" t="s">
        <v>197</v>
      </c>
      <c r="DY1" t="s">
        <v>198</v>
      </c>
      <c r="DZ1" t="s">
        <v>199</v>
      </c>
      <c r="EA1" t="s">
        <v>200</v>
      </c>
      <c r="EB1" t="s">
        <v>201</v>
      </c>
      <c r="EC1" t="s">
        <v>202</v>
      </c>
      <c r="ED1" t="s">
        <v>203</v>
      </c>
      <c r="EE1" t="s">
        <v>204</v>
      </c>
      <c r="EF1" t="s">
        <v>205</v>
      </c>
      <c r="EG1" t="s">
        <v>206</v>
      </c>
      <c r="EH1" t="s">
        <v>207</v>
      </c>
      <c r="EI1" t="s">
        <v>208</v>
      </c>
      <c r="EJ1" t="s">
        <v>209</v>
      </c>
      <c r="EK1" t="s">
        <v>210</v>
      </c>
      <c r="EL1" t="s">
        <v>211</v>
      </c>
      <c r="EM1" t="s">
        <v>212</v>
      </c>
      <c r="EN1" t="s">
        <v>213</v>
      </c>
      <c r="EO1" t="s">
        <v>214</v>
      </c>
      <c r="EP1" t="s">
        <v>215</v>
      </c>
      <c r="EQ1" t="s">
        <v>216</v>
      </c>
      <c r="ER1" t="s">
        <v>217</v>
      </c>
      <c r="ES1" t="s">
        <v>218</v>
      </c>
      <c r="ET1" t="s">
        <v>219</v>
      </c>
      <c r="EU1" t="s">
        <v>220</v>
      </c>
      <c r="EV1" t="s">
        <v>221</v>
      </c>
      <c r="EW1" t="s">
        <v>222</v>
      </c>
      <c r="EX1" t="s">
        <v>223</v>
      </c>
      <c r="EY1" t="s">
        <v>224</v>
      </c>
      <c r="EZ1" t="s">
        <v>225</v>
      </c>
      <c r="FA1" t="s">
        <v>226</v>
      </c>
      <c r="FB1" t="s">
        <v>227</v>
      </c>
      <c r="FC1" t="s">
        <v>228</v>
      </c>
      <c r="FD1" t="s">
        <v>229</v>
      </c>
      <c r="FE1" t="s">
        <v>230</v>
      </c>
      <c r="FF1" t="s">
        <v>231</v>
      </c>
      <c r="FG1" t="s">
        <v>232</v>
      </c>
      <c r="FH1" t="s">
        <v>233</v>
      </c>
      <c r="FI1" t="s">
        <v>234</v>
      </c>
      <c r="FJ1" t="s">
        <v>235</v>
      </c>
      <c r="FK1" t="s">
        <v>236</v>
      </c>
      <c r="FL1" t="s">
        <v>237</v>
      </c>
      <c r="FM1" t="s">
        <v>238</v>
      </c>
      <c r="FN1" t="s">
        <v>239</v>
      </c>
      <c r="FO1" t="s">
        <v>240</v>
      </c>
      <c r="FP1" t="s">
        <v>241</v>
      </c>
      <c r="FQ1" t="s">
        <v>242</v>
      </c>
      <c r="FR1" t="s">
        <v>243</v>
      </c>
      <c r="FS1" t="s">
        <v>244</v>
      </c>
      <c r="FT1" t="s">
        <v>245</v>
      </c>
      <c r="FU1" t="s">
        <v>246</v>
      </c>
      <c r="FV1" t="s">
        <v>247</v>
      </c>
    </row>
    <row r="2" spans="1:178" x14ac:dyDescent="0.25">
      <c r="A2">
        <v>7</v>
      </c>
      <c r="B2" t="str">
        <f>HYPERLINK("http://www.ncbi.nlm.nih.gov/protein/NP_004326.1","NP_004326.1")</f>
        <v>NP_004326.1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HYPERLINK("http://www.ncbi.nlm.nih.gov/protein/NP_004326.1","bone marrow stromal antigen 2 precursor")</f>
        <v>bone marrow stromal antigen 2 precursor</v>
      </c>
      <c r="I2" t="s">
        <v>248</v>
      </c>
      <c r="J2" t="s">
        <v>69</v>
      </c>
      <c r="K2">
        <v>48</v>
      </c>
      <c r="L2" t="s">
        <v>73</v>
      </c>
      <c r="M2" t="s">
        <v>69</v>
      </c>
      <c r="N2" t="s">
        <v>71</v>
      </c>
      <c r="O2" t="s">
        <v>69</v>
      </c>
      <c r="P2">
        <v>89.093999999999994</v>
      </c>
      <c r="Q2" t="s">
        <v>69</v>
      </c>
      <c r="R2" t="s">
        <v>69</v>
      </c>
      <c r="S2">
        <v>49</v>
      </c>
      <c r="T2" t="s">
        <v>153</v>
      </c>
      <c r="U2" t="s">
        <v>69</v>
      </c>
      <c r="V2" t="s">
        <v>148</v>
      </c>
      <c r="W2" t="s">
        <v>69</v>
      </c>
      <c r="X2">
        <v>132.119</v>
      </c>
      <c r="Y2" t="s">
        <v>69</v>
      </c>
      <c r="Z2" t="s">
        <v>69</v>
      </c>
      <c r="AA2">
        <v>50</v>
      </c>
      <c r="AB2" t="s">
        <v>155</v>
      </c>
      <c r="AC2" t="s">
        <v>69</v>
      </c>
      <c r="AD2" t="s">
        <v>150</v>
      </c>
      <c r="AE2" t="s">
        <v>69</v>
      </c>
      <c r="AF2">
        <v>105.093</v>
      </c>
      <c r="AG2" t="s">
        <v>69</v>
      </c>
      <c r="AH2" t="s">
        <v>69</v>
      </c>
      <c r="AI2">
        <v>51</v>
      </c>
      <c r="AJ2" t="s">
        <v>119</v>
      </c>
      <c r="AK2" t="s">
        <v>69</v>
      </c>
      <c r="AL2" t="s">
        <v>120</v>
      </c>
      <c r="AM2" t="s">
        <v>69</v>
      </c>
      <c r="AN2">
        <v>147.131</v>
      </c>
      <c r="AO2" t="s">
        <v>69</v>
      </c>
      <c r="AP2" t="s">
        <v>69</v>
      </c>
      <c r="AQ2">
        <v>52</v>
      </c>
      <c r="AR2" t="s">
        <v>73</v>
      </c>
      <c r="AS2" t="s">
        <v>69</v>
      </c>
      <c r="AT2" t="s">
        <v>71</v>
      </c>
      <c r="AU2" t="s">
        <v>69</v>
      </c>
      <c r="AV2">
        <v>89.093999999999994</v>
      </c>
      <c r="AW2" t="s">
        <v>69</v>
      </c>
      <c r="AX2" t="s">
        <v>69</v>
      </c>
      <c r="AY2">
        <v>53</v>
      </c>
      <c r="AZ2" t="s">
        <v>249</v>
      </c>
      <c r="BA2" t="s">
        <v>69</v>
      </c>
      <c r="BB2" t="s">
        <v>117</v>
      </c>
      <c r="BC2" t="s">
        <v>69</v>
      </c>
      <c r="BD2">
        <v>121.154</v>
      </c>
      <c r="BE2" t="s">
        <v>69</v>
      </c>
      <c r="BF2" t="s">
        <v>69</v>
      </c>
      <c r="BG2">
        <v>84</v>
      </c>
      <c r="BH2" t="s">
        <v>115</v>
      </c>
      <c r="BI2" t="s">
        <v>69</v>
      </c>
      <c r="BJ2" t="s">
        <v>71</v>
      </c>
      <c r="BK2" t="s">
        <v>69</v>
      </c>
      <c r="BL2">
        <v>117.148</v>
      </c>
      <c r="BM2" t="s">
        <v>69</v>
      </c>
      <c r="BN2" t="s">
        <v>69</v>
      </c>
      <c r="BO2">
        <v>85</v>
      </c>
      <c r="BP2" t="s">
        <v>119</v>
      </c>
      <c r="BQ2" t="s">
        <v>69</v>
      </c>
      <c r="BR2" t="s">
        <v>120</v>
      </c>
      <c r="BS2" t="s">
        <v>69</v>
      </c>
      <c r="BT2">
        <v>147.131</v>
      </c>
      <c r="BU2" t="s">
        <v>69</v>
      </c>
      <c r="BV2" t="s">
        <v>69</v>
      </c>
      <c r="BW2">
        <v>87</v>
      </c>
      <c r="BX2" t="s">
        <v>147</v>
      </c>
      <c r="BY2" t="s">
        <v>69</v>
      </c>
      <c r="BZ2" t="s">
        <v>148</v>
      </c>
      <c r="CA2" t="s">
        <v>69</v>
      </c>
      <c r="CB2">
        <v>146.14599999999999</v>
      </c>
      <c r="CC2" t="s">
        <v>69</v>
      </c>
      <c r="CD2" t="s">
        <v>69</v>
      </c>
      <c r="CE2">
        <v>88</v>
      </c>
      <c r="CF2" t="s">
        <v>73</v>
      </c>
      <c r="CG2" t="s">
        <v>69</v>
      </c>
      <c r="CH2" t="s">
        <v>71</v>
      </c>
      <c r="CI2" t="s">
        <v>69</v>
      </c>
      <c r="CJ2">
        <v>89.093999999999994</v>
      </c>
      <c r="CK2" t="s">
        <v>69</v>
      </c>
      <c r="CL2" t="s">
        <v>69</v>
      </c>
      <c r="CM2">
        <v>89</v>
      </c>
      <c r="CN2" t="s">
        <v>73</v>
      </c>
      <c r="CO2" t="s">
        <v>69</v>
      </c>
      <c r="CP2" t="s">
        <v>71</v>
      </c>
      <c r="CQ2" t="s">
        <v>69</v>
      </c>
      <c r="CR2">
        <v>89.093999999999994</v>
      </c>
      <c r="CS2" t="s">
        <v>69</v>
      </c>
      <c r="CT2" t="s">
        <v>69</v>
      </c>
      <c r="CU2">
        <v>91</v>
      </c>
      <c r="CV2" t="s">
        <v>249</v>
      </c>
      <c r="CW2" t="s">
        <v>69</v>
      </c>
      <c r="CX2" t="s">
        <v>117</v>
      </c>
      <c r="CY2" t="s">
        <v>69</v>
      </c>
      <c r="CZ2">
        <v>121.154</v>
      </c>
      <c r="DA2" t="s">
        <v>69</v>
      </c>
      <c r="DB2" t="s">
        <v>69</v>
      </c>
      <c r="DC2">
        <v>92</v>
      </c>
      <c r="DD2" t="s">
        <v>153</v>
      </c>
      <c r="DE2" t="s">
        <v>69</v>
      </c>
      <c r="DF2" t="s">
        <v>148</v>
      </c>
      <c r="DG2" t="s">
        <v>69</v>
      </c>
      <c r="DH2">
        <v>132.119</v>
      </c>
      <c r="DI2" t="s">
        <v>69</v>
      </c>
      <c r="DJ2" t="s">
        <v>69</v>
      </c>
      <c r="DK2">
        <v>105</v>
      </c>
      <c r="DL2" t="s">
        <v>119</v>
      </c>
      <c r="DM2" t="s">
        <v>69</v>
      </c>
      <c r="DN2" t="s">
        <v>120</v>
      </c>
      <c r="DO2" t="s">
        <v>69</v>
      </c>
      <c r="DP2">
        <v>147.131</v>
      </c>
      <c r="DQ2" t="s">
        <v>69</v>
      </c>
      <c r="DR2" t="s">
        <v>69</v>
      </c>
      <c r="DS2">
        <v>106</v>
      </c>
      <c r="DT2" t="s">
        <v>76</v>
      </c>
      <c r="DU2" t="s">
        <v>69</v>
      </c>
      <c r="DV2" t="s">
        <v>75</v>
      </c>
      <c r="DW2" t="s">
        <v>69</v>
      </c>
      <c r="DX2">
        <v>146.18899999999999</v>
      </c>
      <c r="DY2" t="s">
        <v>69</v>
      </c>
      <c r="DZ2" t="s">
        <v>69</v>
      </c>
      <c r="EA2">
        <v>108</v>
      </c>
      <c r="EB2" t="s">
        <v>147</v>
      </c>
      <c r="EC2" t="s">
        <v>69</v>
      </c>
      <c r="ED2" t="s">
        <v>148</v>
      </c>
      <c r="EE2" t="s">
        <v>69</v>
      </c>
      <c r="EF2">
        <v>146.14599999999999</v>
      </c>
      <c r="EG2" t="s">
        <v>69</v>
      </c>
      <c r="EH2" t="s">
        <v>69</v>
      </c>
      <c r="EI2">
        <v>109</v>
      </c>
      <c r="EJ2" t="s">
        <v>70</v>
      </c>
      <c r="EK2" t="s">
        <v>69</v>
      </c>
      <c r="EL2" t="s">
        <v>71</v>
      </c>
      <c r="EM2" t="s">
        <v>69</v>
      </c>
      <c r="EN2">
        <v>75.066999999999993</v>
      </c>
      <c r="EO2" t="s">
        <v>69</v>
      </c>
      <c r="EP2" t="s">
        <v>69</v>
      </c>
      <c r="EQ2">
        <v>110</v>
      </c>
      <c r="ER2" t="s">
        <v>147</v>
      </c>
      <c r="ES2" t="s">
        <v>69</v>
      </c>
      <c r="ET2" t="s">
        <v>148</v>
      </c>
      <c r="EU2" t="s">
        <v>69</v>
      </c>
      <c r="EV2">
        <v>146.14599999999999</v>
      </c>
      <c r="EW2" t="s">
        <v>69</v>
      </c>
      <c r="EX2" t="s">
        <v>69</v>
      </c>
      <c r="EY2">
        <v>112</v>
      </c>
      <c r="EZ2" t="s">
        <v>76</v>
      </c>
      <c r="FA2" t="s">
        <v>69</v>
      </c>
      <c r="FB2" t="s">
        <v>75</v>
      </c>
      <c r="FC2" t="s">
        <v>69</v>
      </c>
      <c r="FD2">
        <v>146.18899999999999</v>
      </c>
      <c r="FE2" t="s">
        <v>69</v>
      </c>
      <c r="FF2" t="s">
        <v>69</v>
      </c>
      <c r="FG2">
        <v>113</v>
      </c>
      <c r="FH2" t="s">
        <v>115</v>
      </c>
      <c r="FI2" t="s">
        <v>69</v>
      </c>
      <c r="FJ2" t="s">
        <v>71</v>
      </c>
      <c r="FK2" t="s">
        <v>69</v>
      </c>
      <c r="FL2">
        <v>117.148</v>
      </c>
      <c r="FM2" t="s">
        <v>69</v>
      </c>
      <c r="FN2" t="s">
        <v>69</v>
      </c>
      <c r="FO2">
        <v>117</v>
      </c>
      <c r="FP2" t="s">
        <v>119</v>
      </c>
      <c r="FQ2" t="s">
        <v>69</v>
      </c>
      <c r="FR2" t="s">
        <v>120</v>
      </c>
      <c r="FS2" t="s">
        <v>69</v>
      </c>
      <c r="FT2">
        <v>147.131</v>
      </c>
      <c r="FU2" t="s">
        <v>69</v>
      </c>
      <c r="FV2" t="s">
        <v>69</v>
      </c>
    </row>
    <row r="3" spans="1:178" x14ac:dyDescent="0.25">
      <c r="A3">
        <v>7</v>
      </c>
      <c r="B3" t="str">
        <f>HYPERLINK("http://www.ncbi.nlm.nih.gov/protein/XP_018869871.1","XP_018869871.1")</f>
        <v>XP_018869871.1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HYPERLINK("http://www.ncbi.nlm.nih.gov/protein/XP_018869871.1","bone marrow stromal antigen 2 isoform X1")</f>
        <v>bone marrow stromal antigen 2 isoform X1</v>
      </c>
      <c r="I3" t="s">
        <v>248</v>
      </c>
      <c r="J3" t="s">
        <v>69</v>
      </c>
      <c r="K3">
        <v>53</v>
      </c>
      <c r="L3" t="s">
        <v>73</v>
      </c>
      <c r="M3" t="s">
        <v>69</v>
      </c>
      <c r="N3" t="s">
        <v>71</v>
      </c>
      <c r="O3" t="s">
        <v>69</v>
      </c>
      <c r="P3">
        <v>89.093999999999994</v>
      </c>
      <c r="Q3" t="s">
        <v>69</v>
      </c>
      <c r="R3" t="s">
        <v>69</v>
      </c>
      <c r="S3">
        <v>54</v>
      </c>
      <c r="T3" t="s">
        <v>153</v>
      </c>
      <c r="U3" t="s">
        <v>69</v>
      </c>
      <c r="V3" t="s">
        <v>148</v>
      </c>
      <c r="W3" t="s">
        <v>69</v>
      </c>
      <c r="X3">
        <v>132.119</v>
      </c>
      <c r="Y3" t="s">
        <v>69</v>
      </c>
      <c r="Z3" t="s">
        <v>69</v>
      </c>
      <c r="AA3">
        <v>55</v>
      </c>
      <c r="AB3" t="s">
        <v>155</v>
      </c>
      <c r="AC3" t="s">
        <v>69</v>
      </c>
      <c r="AD3" t="s">
        <v>150</v>
      </c>
      <c r="AE3" t="s">
        <v>69</v>
      </c>
      <c r="AF3">
        <v>105.093</v>
      </c>
      <c r="AG3" t="s">
        <v>69</v>
      </c>
      <c r="AH3" t="s">
        <v>69</v>
      </c>
      <c r="AI3">
        <v>56</v>
      </c>
      <c r="AJ3" t="s">
        <v>119</v>
      </c>
      <c r="AK3" t="s">
        <v>69</v>
      </c>
      <c r="AL3" t="s">
        <v>120</v>
      </c>
      <c r="AM3" t="s">
        <v>69</v>
      </c>
      <c r="AN3">
        <v>147.131</v>
      </c>
      <c r="AO3" t="s">
        <v>69</v>
      </c>
      <c r="AP3" t="s">
        <v>69</v>
      </c>
      <c r="AQ3">
        <v>57</v>
      </c>
      <c r="AR3" t="s">
        <v>73</v>
      </c>
      <c r="AS3" t="s">
        <v>69</v>
      </c>
      <c r="AT3" t="s">
        <v>71</v>
      </c>
      <c r="AU3" t="s">
        <v>69</v>
      </c>
      <c r="AV3">
        <v>89.093999999999994</v>
      </c>
      <c r="AW3" t="s">
        <v>69</v>
      </c>
      <c r="AX3" t="s">
        <v>69</v>
      </c>
      <c r="AY3">
        <v>58</v>
      </c>
      <c r="AZ3" t="s">
        <v>249</v>
      </c>
      <c r="BA3" t="s">
        <v>69</v>
      </c>
      <c r="BB3" t="s">
        <v>117</v>
      </c>
      <c r="BC3" t="s">
        <v>69</v>
      </c>
      <c r="BD3">
        <v>121.154</v>
      </c>
      <c r="BE3" t="s">
        <v>69</v>
      </c>
      <c r="BF3" t="s">
        <v>69</v>
      </c>
      <c r="BG3">
        <v>89</v>
      </c>
      <c r="BH3" t="s">
        <v>115</v>
      </c>
      <c r="BI3" t="s">
        <v>69</v>
      </c>
      <c r="BJ3" t="s">
        <v>71</v>
      </c>
      <c r="BK3" t="s">
        <v>69</v>
      </c>
      <c r="BL3">
        <v>117.148</v>
      </c>
      <c r="BM3" t="s">
        <v>69</v>
      </c>
      <c r="BN3" t="s">
        <v>69</v>
      </c>
      <c r="BO3">
        <v>90</v>
      </c>
      <c r="BP3" t="s">
        <v>119</v>
      </c>
      <c r="BQ3" t="s">
        <v>69</v>
      </c>
      <c r="BR3" t="s">
        <v>120</v>
      </c>
      <c r="BS3" t="s">
        <v>69</v>
      </c>
      <c r="BT3">
        <v>147.131</v>
      </c>
      <c r="BU3" t="s">
        <v>69</v>
      </c>
      <c r="BV3" t="s">
        <v>69</v>
      </c>
      <c r="BW3">
        <v>92</v>
      </c>
      <c r="BX3" t="s">
        <v>147</v>
      </c>
      <c r="BY3" t="s">
        <v>69</v>
      </c>
      <c r="BZ3" t="s">
        <v>148</v>
      </c>
      <c r="CA3" t="s">
        <v>69</v>
      </c>
      <c r="CB3">
        <v>146.14599999999999</v>
      </c>
      <c r="CC3" t="s">
        <v>69</v>
      </c>
      <c r="CD3" t="s">
        <v>69</v>
      </c>
      <c r="CE3">
        <v>93</v>
      </c>
      <c r="CF3" t="s">
        <v>73</v>
      </c>
      <c r="CG3" t="s">
        <v>69</v>
      </c>
      <c r="CH3" t="s">
        <v>71</v>
      </c>
      <c r="CI3" t="s">
        <v>69</v>
      </c>
      <c r="CJ3">
        <v>89.093999999999994</v>
      </c>
      <c r="CK3" t="s">
        <v>69</v>
      </c>
      <c r="CL3" t="s">
        <v>69</v>
      </c>
      <c r="CM3">
        <v>94</v>
      </c>
      <c r="CN3" t="s">
        <v>73</v>
      </c>
      <c r="CO3" t="s">
        <v>69</v>
      </c>
      <c r="CP3" t="s">
        <v>71</v>
      </c>
      <c r="CQ3" t="s">
        <v>69</v>
      </c>
      <c r="CR3">
        <v>89.093999999999994</v>
      </c>
      <c r="CS3" t="s">
        <v>69</v>
      </c>
      <c r="CT3" t="s">
        <v>69</v>
      </c>
      <c r="CU3">
        <v>96</v>
      </c>
      <c r="CV3" t="s">
        <v>249</v>
      </c>
      <c r="CW3" t="s">
        <v>69</v>
      </c>
      <c r="CX3" t="s">
        <v>117</v>
      </c>
      <c r="CY3" t="s">
        <v>69</v>
      </c>
      <c r="CZ3">
        <v>121.154</v>
      </c>
      <c r="DA3" t="s">
        <v>69</v>
      </c>
      <c r="DB3" t="s">
        <v>69</v>
      </c>
      <c r="DC3">
        <v>97</v>
      </c>
      <c r="DD3" t="s">
        <v>153</v>
      </c>
      <c r="DE3" t="s">
        <v>69</v>
      </c>
      <c r="DF3" t="s">
        <v>148</v>
      </c>
      <c r="DG3" t="s">
        <v>69</v>
      </c>
      <c r="DH3">
        <v>132.119</v>
      </c>
      <c r="DI3" t="s">
        <v>69</v>
      </c>
      <c r="DJ3" t="s">
        <v>69</v>
      </c>
      <c r="DK3">
        <v>110</v>
      </c>
      <c r="DL3" t="s">
        <v>119</v>
      </c>
      <c r="DM3" t="s">
        <v>69</v>
      </c>
      <c r="DN3" t="s">
        <v>120</v>
      </c>
      <c r="DO3" t="s">
        <v>69</v>
      </c>
      <c r="DP3">
        <v>147.131</v>
      </c>
      <c r="DQ3" t="s">
        <v>69</v>
      </c>
      <c r="DR3" t="s">
        <v>69</v>
      </c>
      <c r="DS3">
        <v>111</v>
      </c>
      <c r="DT3" t="s">
        <v>76</v>
      </c>
      <c r="DU3" t="s">
        <v>69</v>
      </c>
      <c r="DV3" t="s">
        <v>75</v>
      </c>
      <c r="DW3" t="s">
        <v>69</v>
      </c>
      <c r="DX3">
        <v>146.18899999999999</v>
      </c>
      <c r="DY3" t="s">
        <v>69</v>
      </c>
      <c r="DZ3" t="s">
        <v>69</v>
      </c>
      <c r="EA3">
        <v>113</v>
      </c>
      <c r="EB3" t="s">
        <v>147</v>
      </c>
      <c r="EC3" t="s">
        <v>69</v>
      </c>
      <c r="ED3" t="s">
        <v>148</v>
      </c>
      <c r="EE3" t="s">
        <v>69</v>
      </c>
      <c r="EF3">
        <v>146.14599999999999</v>
      </c>
      <c r="EG3" t="s">
        <v>69</v>
      </c>
      <c r="EH3" t="s">
        <v>69</v>
      </c>
      <c r="EI3">
        <v>114</v>
      </c>
      <c r="EJ3" t="s">
        <v>70</v>
      </c>
      <c r="EK3" t="s">
        <v>69</v>
      </c>
      <c r="EL3" t="s">
        <v>71</v>
      </c>
      <c r="EM3" t="s">
        <v>69</v>
      </c>
      <c r="EN3">
        <v>75.066999999999993</v>
      </c>
      <c r="EO3" t="s">
        <v>69</v>
      </c>
      <c r="EP3" t="s">
        <v>69</v>
      </c>
      <c r="EQ3">
        <v>115</v>
      </c>
      <c r="ER3" t="s">
        <v>147</v>
      </c>
      <c r="ES3" t="s">
        <v>69</v>
      </c>
      <c r="ET3" t="s">
        <v>148</v>
      </c>
      <c r="EU3" t="s">
        <v>69</v>
      </c>
      <c r="EV3">
        <v>146.14599999999999</v>
      </c>
      <c r="EW3" t="s">
        <v>69</v>
      </c>
      <c r="EX3" t="s">
        <v>69</v>
      </c>
      <c r="EY3">
        <v>117</v>
      </c>
      <c r="EZ3" t="s">
        <v>76</v>
      </c>
      <c r="FA3" t="s">
        <v>69</v>
      </c>
      <c r="FB3" t="s">
        <v>75</v>
      </c>
      <c r="FC3" t="s">
        <v>69</v>
      </c>
      <c r="FD3">
        <v>146.18899999999999</v>
      </c>
      <c r="FE3" t="s">
        <v>69</v>
      </c>
      <c r="FF3" t="s">
        <v>69</v>
      </c>
      <c r="FG3">
        <v>118</v>
      </c>
      <c r="FH3" t="s">
        <v>115</v>
      </c>
      <c r="FI3" t="s">
        <v>69</v>
      </c>
      <c r="FJ3" t="s">
        <v>71</v>
      </c>
      <c r="FK3" t="s">
        <v>69</v>
      </c>
      <c r="FL3">
        <v>117.148</v>
      </c>
      <c r="FM3" t="s">
        <v>69</v>
      </c>
      <c r="FN3" t="s">
        <v>69</v>
      </c>
      <c r="FO3">
        <v>122</v>
      </c>
      <c r="FP3" t="s">
        <v>119</v>
      </c>
      <c r="FQ3" t="s">
        <v>69</v>
      </c>
      <c r="FR3" t="s">
        <v>120</v>
      </c>
      <c r="FS3" t="s">
        <v>69</v>
      </c>
      <c r="FT3">
        <v>147.131</v>
      </c>
      <c r="FU3" t="s">
        <v>69</v>
      </c>
      <c r="FV3" t="s">
        <v>69</v>
      </c>
    </row>
    <row r="4" spans="1:178" x14ac:dyDescent="0.25">
      <c r="A4">
        <v>7</v>
      </c>
      <c r="B4" t="str">
        <f>HYPERLINK("http://www.ncbi.nlm.nih.gov/protein/XP_007993912.1","XP_007993912.1")</f>
        <v>XP_007993912.1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HYPERLINK("http://www.ncbi.nlm.nih.gov/protein/XP_007993912.1","bone marrow stromal antigen 2")</f>
        <v>bone marrow stromal antigen 2</v>
      </c>
      <c r="I4" t="s">
        <v>248</v>
      </c>
      <c r="J4" t="s">
        <v>69</v>
      </c>
      <c r="K4">
        <v>51</v>
      </c>
      <c r="L4" t="s">
        <v>73</v>
      </c>
      <c r="M4" t="s">
        <v>69</v>
      </c>
      <c r="N4" t="s">
        <v>71</v>
      </c>
      <c r="O4" t="s">
        <v>69</v>
      </c>
      <c r="P4">
        <v>89.093999999999994</v>
      </c>
      <c r="Q4" t="s">
        <v>69</v>
      </c>
      <c r="R4" t="s">
        <v>69</v>
      </c>
      <c r="S4">
        <v>52</v>
      </c>
      <c r="T4" t="s">
        <v>153</v>
      </c>
      <c r="U4" t="s">
        <v>69</v>
      </c>
      <c r="V4" t="s">
        <v>148</v>
      </c>
      <c r="W4" t="s">
        <v>69</v>
      </c>
      <c r="X4">
        <v>132.119</v>
      </c>
      <c r="Y4" t="s">
        <v>69</v>
      </c>
      <c r="Z4" t="s">
        <v>69</v>
      </c>
      <c r="AA4">
        <v>53</v>
      </c>
      <c r="AB4" t="s">
        <v>155</v>
      </c>
      <c r="AC4" t="s">
        <v>69</v>
      </c>
      <c r="AD4" t="s">
        <v>150</v>
      </c>
      <c r="AE4" t="s">
        <v>69</v>
      </c>
      <c r="AF4">
        <v>105.093</v>
      </c>
      <c r="AG4" t="s">
        <v>69</v>
      </c>
      <c r="AH4" t="s">
        <v>69</v>
      </c>
      <c r="AI4">
        <v>54</v>
      </c>
      <c r="AJ4" t="s">
        <v>119</v>
      </c>
      <c r="AK4" t="s">
        <v>69</v>
      </c>
      <c r="AL4" t="s">
        <v>120</v>
      </c>
      <c r="AM4" t="s">
        <v>69</v>
      </c>
      <c r="AN4">
        <v>147.131</v>
      </c>
      <c r="AO4" t="s">
        <v>69</v>
      </c>
      <c r="AP4" t="s">
        <v>69</v>
      </c>
      <c r="AQ4">
        <v>55</v>
      </c>
      <c r="AR4" t="s">
        <v>73</v>
      </c>
      <c r="AS4" t="s">
        <v>69</v>
      </c>
      <c r="AT4" t="s">
        <v>71</v>
      </c>
      <c r="AU4" t="s">
        <v>69</v>
      </c>
      <c r="AV4">
        <v>89.093999999999994</v>
      </c>
      <c r="AW4" t="s">
        <v>69</v>
      </c>
      <c r="AX4" t="s">
        <v>69</v>
      </c>
      <c r="AY4">
        <v>56</v>
      </c>
      <c r="AZ4" t="s">
        <v>249</v>
      </c>
      <c r="BA4" t="s">
        <v>69</v>
      </c>
      <c r="BB4" t="s">
        <v>117</v>
      </c>
      <c r="BC4" t="s">
        <v>69</v>
      </c>
      <c r="BD4">
        <v>121.154</v>
      </c>
      <c r="BE4" t="s">
        <v>69</v>
      </c>
      <c r="BF4" t="s">
        <v>69</v>
      </c>
      <c r="BG4">
        <v>87</v>
      </c>
      <c r="BH4" t="s">
        <v>73</v>
      </c>
      <c r="BI4" t="s">
        <v>153</v>
      </c>
      <c r="BJ4" t="s">
        <v>71</v>
      </c>
      <c r="BK4" t="s">
        <v>69</v>
      </c>
      <c r="BL4">
        <v>89.093999999999994</v>
      </c>
      <c r="BM4" t="s">
        <v>69</v>
      </c>
      <c r="BN4" t="s">
        <v>69</v>
      </c>
      <c r="BO4">
        <v>88</v>
      </c>
      <c r="BP4" t="s">
        <v>119</v>
      </c>
      <c r="BQ4" t="s">
        <v>69</v>
      </c>
      <c r="BR4" t="s">
        <v>120</v>
      </c>
      <c r="BS4" t="s">
        <v>69</v>
      </c>
      <c r="BT4">
        <v>147.131</v>
      </c>
      <c r="BU4" t="s">
        <v>69</v>
      </c>
      <c r="BV4" t="s">
        <v>69</v>
      </c>
      <c r="BW4">
        <v>90</v>
      </c>
      <c r="BX4" t="s">
        <v>147</v>
      </c>
      <c r="BY4" t="s">
        <v>69</v>
      </c>
      <c r="BZ4" t="s">
        <v>148</v>
      </c>
      <c r="CA4" t="s">
        <v>69</v>
      </c>
      <c r="CB4">
        <v>146.14599999999999</v>
      </c>
      <c r="CC4" t="s">
        <v>69</v>
      </c>
      <c r="CD4" t="s">
        <v>69</v>
      </c>
      <c r="CE4">
        <v>91</v>
      </c>
      <c r="CF4" t="s">
        <v>73</v>
      </c>
      <c r="CG4" t="s">
        <v>69</v>
      </c>
      <c r="CH4" t="s">
        <v>71</v>
      </c>
      <c r="CI4" t="s">
        <v>69</v>
      </c>
      <c r="CJ4">
        <v>89.093999999999994</v>
      </c>
      <c r="CK4" t="s">
        <v>69</v>
      </c>
      <c r="CL4" t="s">
        <v>69</v>
      </c>
      <c r="CM4">
        <v>92</v>
      </c>
      <c r="CN4" t="s">
        <v>115</v>
      </c>
      <c r="CO4" t="s">
        <v>153</v>
      </c>
      <c r="CP4" t="s">
        <v>71</v>
      </c>
      <c r="CQ4" t="s">
        <v>69</v>
      </c>
      <c r="CR4">
        <v>117.148</v>
      </c>
      <c r="CS4" t="s">
        <v>69</v>
      </c>
      <c r="CT4" t="s">
        <v>69</v>
      </c>
      <c r="CU4">
        <v>94</v>
      </c>
      <c r="CV4" t="s">
        <v>249</v>
      </c>
      <c r="CW4" t="s">
        <v>69</v>
      </c>
      <c r="CX4" t="s">
        <v>117</v>
      </c>
      <c r="CY4" t="s">
        <v>69</v>
      </c>
      <c r="CZ4">
        <v>121.154</v>
      </c>
      <c r="DA4" t="s">
        <v>69</v>
      </c>
      <c r="DB4" t="s">
        <v>69</v>
      </c>
      <c r="DC4">
        <v>95</v>
      </c>
      <c r="DD4" t="s">
        <v>153</v>
      </c>
      <c r="DE4" t="s">
        <v>69</v>
      </c>
      <c r="DF4" t="s">
        <v>148</v>
      </c>
      <c r="DG4" t="s">
        <v>69</v>
      </c>
      <c r="DH4">
        <v>132.119</v>
      </c>
      <c r="DI4" t="s">
        <v>69</v>
      </c>
      <c r="DJ4" t="s">
        <v>69</v>
      </c>
      <c r="DK4">
        <v>108</v>
      </c>
      <c r="DL4" t="s">
        <v>119</v>
      </c>
      <c r="DM4" t="s">
        <v>69</v>
      </c>
      <c r="DN4" t="s">
        <v>120</v>
      </c>
      <c r="DO4" t="s">
        <v>69</v>
      </c>
      <c r="DP4">
        <v>147.131</v>
      </c>
      <c r="DQ4" t="s">
        <v>69</v>
      </c>
      <c r="DR4" t="s">
        <v>69</v>
      </c>
      <c r="DS4">
        <v>109</v>
      </c>
      <c r="DT4" t="s">
        <v>76</v>
      </c>
      <c r="DU4" t="s">
        <v>69</v>
      </c>
      <c r="DV4" t="s">
        <v>75</v>
      </c>
      <c r="DW4" t="s">
        <v>69</v>
      </c>
      <c r="DX4">
        <v>146.18899999999999</v>
      </c>
      <c r="DY4" t="s">
        <v>69</v>
      </c>
      <c r="DZ4" t="s">
        <v>69</v>
      </c>
      <c r="EA4">
        <v>111</v>
      </c>
      <c r="EB4" t="s">
        <v>147</v>
      </c>
      <c r="EC4" t="s">
        <v>69</v>
      </c>
      <c r="ED4" t="s">
        <v>148</v>
      </c>
      <c r="EE4" t="s">
        <v>69</v>
      </c>
      <c r="EF4">
        <v>146.14599999999999</v>
      </c>
      <c r="EG4" t="s">
        <v>69</v>
      </c>
      <c r="EH4" t="s">
        <v>69</v>
      </c>
      <c r="EI4">
        <v>112</v>
      </c>
      <c r="EJ4" t="s">
        <v>70</v>
      </c>
      <c r="EK4" t="s">
        <v>69</v>
      </c>
      <c r="EL4" t="s">
        <v>71</v>
      </c>
      <c r="EM4" t="s">
        <v>69</v>
      </c>
      <c r="EN4">
        <v>75.066999999999993</v>
      </c>
      <c r="EO4" t="s">
        <v>69</v>
      </c>
      <c r="EP4" t="s">
        <v>69</v>
      </c>
      <c r="EQ4">
        <v>113</v>
      </c>
      <c r="ER4" t="s">
        <v>74</v>
      </c>
      <c r="ES4" t="s">
        <v>153</v>
      </c>
      <c r="ET4" t="s">
        <v>75</v>
      </c>
      <c r="EU4" t="s">
        <v>153</v>
      </c>
      <c r="EV4">
        <v>174.203</v>
      </c>
      <c r="EW4" t="s">
        <v>69</v>
      </c>
      <c r="EX4" t="s">
        <v>69</v>
      </c>
      <c r="EY4">
        <v>115</v>
      </c>
      <c r="EZ4" t="s">
        <v>76</v>
      </c>
      <c r="FA4" t="s">
        <v>69</v>
      </c>
      <c r="FB4" t="s">
        <v>75</v>
      </c>
      <c r="FC4" t="s">
        <v>69</v>
      </c>
      <c r="FD4">
        <v>146.18899999999999</v>
      </c>
      <c r="FE4" t="s">
        <v>69</v>
      </c>
      <c r="FF4" t="s">
        <v>69</v>
      </c>
      <c r="FG4">
        <v>116</v>
      </c>
      <c r="FH4" t="s">
        <v>115</v>
      </c>
      <c r="FI4" t="s">
        <v>69</v>
      </c>
      <c r="FJ4" t="s">
        <v>71</v>
      </c>
      <c r="FK4" t="s">
        <v>69</v>
      </c>
      <c r="FL4">
        <v>117.148</v>
      </c>
      <c r="FM4" t="s">
        <v>69</v>
      </c>
      <c r="FN4" t="s">
        <v>69</v>
      </c>
      <c r="FO4">
        <v>120</v>
      </c>
      <c r="FP4" t="s">
        <v>119</v>
      </c>
      <c r="FQ4" t="s">
        <v>69</v>
      </c>
      <c r="FR4" t="s">
        <v>120</v>
      </c>
      <c r="FS4" t="s">
        <v>69</v>
      </c>
      <c r="FT4">
        <v>147.131</v>
      </c>
      <c r="FU4" t="s">
        <v>69</v>
      </c>
      <c r="FV4" t="s">
        <v>69</v>
      </c>
    </row>
    <row r="5" spans="1:178" x14ac:dyDescent="0.25">
      <c r="A5">
        <v>7</v>
      </c>
      <c r="B5" t="str">
        <f>HYPERLINK("http://www.ncbi.nlm.nih.gov/protein/AXR71172.1","AXR71172.1")</f>
        <v>AXR71172.1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HYPERLINK("http://www.ncbi.nlm.nih.gov/protein/AXR71172.1","BST2.11")</f>
        <v>BST2.11</v>
      </c>
      <c r="I5" t="s">
        <v>248</v>
      </c>
      <c r="J5" t="s">
        <v>69</v>
      </c>
      <c r="K5">
        <v>51</v>
      </c>
      <c r="L5" t="s">
        <v>73</v>
      </c>
      <c r="M5" t="s">
        <v>69</v>
      </c>
      <c r="N5" t="s">
        <v>71</v>
      </c>
      <c r="O5" t="s">
        <v>69</v>
      </c>
      <c r="P5">
        <v>89.093999999999994</v>
      </c>
      <c r="Q5" t="s">
        <v>69</v>
      </c>
      <c r="R5" t="s">
        <v>69</v>
      </c>
      <c r="S5">
        <v>52</v>
      </c>
      <c r="T5" t="s">
        <v>153</v>
      </c>
      <c r="U5" t="s">
        <v>69</v>
      </c>
      <c r="V5" t="s">
        <v>148</v>
      </c>
      <c r="W5" t="s">
        <v>69</v>
      </c>
      <c r="X5">
        <v>132.119</v>
      </c>
      <c r="Y5" t="s">
        <v>69</v>
      </c>
      <c r="Z5" t="s">
        <v>69</v>
      </c>
      <c r="AA5">
        <v>53</v>
      </c>
      <c r="AB5" t="s">
        <v>155</v>
      </c>
      <c r="AC5" t="s">
        <v>69</v>
      </c>
      <c r="AD5" t="s">
        <v>150</v>
      </c>
      <c r="AE5" t="s">
        <v>69</v>
      </c>
      <c r="AF5">
        <v>105.093</v>
      </c>
      <c r="AG5" t="s">
        <v>69</v>
      </c>
      <c r="AH5" t="s">
        <v>69</v>
      </c>
      <c r="AI5">
        <v>54</v>
      </c>
      <c r="AJ5" t="s">
        <v>119</v>
      </c>
      <c r="AK5" t="s">
        <v>69</v>
      </c>
      <c r="AL5" t="s">
        <v>120</v>
      </c>
      <c r="AM5" t="s">
        <v>69</v>
      </c>
      <c r="AN5">
        <v>147.131</v>
      </c>
      <c r="AO5" t="s">
        <v>69</v>
      </c>
      <c r="AP5" t="s">
        <v>69</v>
      </c>
      <c r="AQ5">
        <v>55</v>
      </c>
      <c r="AR5" t="s">
        <v>73</v>
      </c>
      <c r="AS5" t="s">
        <v>69</v>
      </c>
      <c r="AT5" t="s">
        <v>71</v>
      </c>
      <c r="AU5" t="s">
        <v>69</v>
      </c>
      <c r="AV5">
        <v>89.093999999999994</v>
      </c>
      <c r="AW5" t="s">
        <v>69</v>
      </c>
      <c r="AX5" t="s">
        <v>69</v>
      </c>
      <c r="AY5">
        <v>56</v>
      </c>
      <c r="AZ5" t="s">
        <v>249</v>
      </c>
      <c r="BA5" t="s">
        <v>69</v>
      </c>
      <c r="BB5" t="s">
        <v>117</v>
      </c>
      <c r="BC5" t="s">
        <v>69</v>
      </c>
      <c r="BD5">
        <v>121.154</v>
      </c>
      <c r="BE5" t="s">
        <v>69</v>
      </c>
      <c r="BF5" t="s">
        <v>69</v>
      </c>
      <c r="BG5">
        <v>87</v>
      </c>
      <c r="BH5" t="s">
        <v>73</v>
      </c>
      <c r="BI5" t="s">
        <v>153</v>
      </c>
      <c r="BJ5" t="s">
        <v>71</v>
      </c>
      <c r="BK5" t="s">
        <v>69</v>
      </c>
      <c r="BL5">
        <v>89.093999999999994</v>
      </c>
      <c r="BM5" t="s">
        <v>69</v>
      </c>
      <c r="BN5" t="s">
        <v>69</v>
      </c>
      <c r="BO5">
        <v>88</v>
      </c>
      <c r="BP5" t="s">
        <v>119</v>
      </c>
      <c r="BQ5" t="s">
        <v>69</v>
      </c>
      <c r="BR5" t="s">
        <v>120</v>
      </c>
      <c r="BS5" t="s">
        <v>69</v>
      </c>
      <c r="BT5">
        <v>147.131</v>
      </c>
      <c r="BU5" t="s">
        <v>69</v>
      </c>
      <c r="BV5" t="s">
        <v>69</v>
      </c>
      <c r="BW5">
        <v>90</v>
      </c>
      <c r="BX5" t="s">
        <v>147</v>
      </c>
      <c r="BY5" t="s">
        <v>69</v>
      </c>
      <c r="BZ5" t="s">
        <v>148</v>
      </c>
      <c r="CA5" t="s">
        <v>69</v>
      </c>
      <c r="CB5">
        <v>146.14599999999999</v>
      </c>
      <c r="CC5" t="s">
        <v>69</v>
      </c>
      <c r="CD5" t="s">
        <v>69</v>
      </c>
      <c r="CE5">
        <v>91</v>
      </c>
      <c r="CF5" t="s">
        <v>73</v>
      </c>
      <c r="CG5" t="s">
        <v>69</v>
      </c>
      <c r="CH5" t="s">
        <v>71</v>
      </c>
      <c r="CI5" t="s">
        <v>69</v>
      </c>
      <c r="CJ5">
        <v>89.093999999999994</v>
      </c>
      <c r="CK5" t="s">
        <v>69</v>
      </c>
      <c r="CL5" t="s">
        <v>69</v>
      </c>
      <c r="CM5">
        <v>92</v>
      </c>
      <c r="CN5" t="s">
        <v>115</v>
      </c>
      <c r="CO5" t="s">
        <v>153</v>
      </c>
      <c r="CP5" t="s">
        <v>71</v>
      </c>
      <c r="CQ5" t="s">
        <v>69</v>
      </c>
      <c r="CR5">
        <v>117.148</v>
      </c>
      <c r="CS5" t="s">
        <v>69</v>
      </c>
      <c r="CT5" t="s">
        <v>69</v>
      </c>
      <c r="CU5">
        <v>94</v>
      </c>
      <c r="CV5" t="s">
        <v>249</v>
      </c>
      <c r="CW5" t="s">
        <v>69</v>
      </c>
      <c r="CX5" t="s">
        <v>117</v>
      </c>
      <c r="CY5" t="s">
        <v>69</v>
      </c>
      <c r="CZ5">
        <v>121.154</v>
      </c>
      <c r="DA5" t="s">
        <v>69</v>
      </c>
      <c r="DB5" t="s">
        <v>69</v>
      </c>
      <c r="DC5">
        <v>95</v>
      </c>
      <c r="DD5" t="s">
        <v>153</v>
      </c>
      <c r="DE5" t="s">
        <v>69</v>
      </c>
      <c r="DF5" t="s">
        <v>148</v>
      </c>
      <c r="DG5" t="s">
        <v>69</v>
      </c>
      <c r="DH5">
        <v>132.119</v>
      </c>
      <c r="DI5" t="s">
        <v>69</v>
      </c>
      <c r="DJ5" t="s">
        <v>69</v>
      </c>
      <c r="DK5">
        <v>108</v>
      </c>
      <c r="DL5" t="s">
        <v>119</v>
      </c>
      <c r="DM5" t="s">
        <v>69</v>
      </c>
      <c r="DN5" t="s">
        <v>120</v>
      </c>
      <c r="DO5" t="s">
        <v>69</v>
      </c>
      <c r="DP5">
        <v>147.131</v>
      </c>
      <c r="DQ5" t="s">
        <v>69</v>
      </c>
      <c r="DR5" t="s">
        <v>69</v>
      </c>
      <c r="DS5">
        <v>109</v>
      </c>
      <c r="DT5" t="s">
        <v>76</v>
      </c>
      <c r="DU5" t="s">
        <v>69</v>
      </c>
      <c r="DV5" t="s">
        <v>75</v>
      </c>
      <c r="DW5" t="s">
        <v>69</v>
      </c>
      <c r="DX5">
        <v>146.18899999999999</v>
      </c>
      <c r="DY5" t="s">
        <v>69</v>
      </c>
      <c r="DZ5" t="s">
        <v>69</v>
      </c>
      <c r="EA5">
        <v>111</v>
      </c>
      <c r="EB5" t="s">
        <v>147</v>
      </c>
      <c r="EC5" t="s">
        <v>69</v>
      </c>
      <c r="ED5" t="s">
        <v>148</v>
      </c>
      <c r="EE5" t="s">
        <v>69</v>
      </c>
      <c r="EF5">
        <v>146.14599999999999</v>
      </c>
      <c r="EG5" t="s">
        <v>69</v>
      </c>
      <c r="EH5" t="s">
        <v>69</v>
      </c>
      <c r="EI5">
        <v>112</v>
      </c>
      <c r="EJ5" t="s">
        <v>70</v>
      </c>
      <c r="EK5" t="s">
        <v>69</v>
      </c>
      <c r="EL5" t="s">
        <v>71</v>
      </c>
      <c r="EM5" t="s">
        <v>69</v>
      </c>
      <c r="EN5">
        <v>75.066999999999993</v>
      </c>
      <c r="EO5" t="s">
        <v>69</v>
      </c>
      <c r="EP5" t="s">
        <v>69</v>
      </c>
      <c r="EQ5">
        <v>113</v>
      </c>
      <c r="ER5" t="s">
        <v>74</v>
      </c>
      <c r="ES5" t="s">
        <v>153</v>
      </c>
      <c r="ET5" t="s">
        <v>75</v>
      </c>
      <c r="EU5" t="s">
        <v>153</v>
      </c>
      <c r="EV5">
        <v>174.203</v>
      </c>
      <c r="EW5" t="s">
        <v>69</v>
      </c>
      <c r="EX5" t="s">
        <v>69</v>
      </c>
      <c r="EY5">
        <v>115</v>
      </c>
      <c r="EZ5" t="s">
        <v>76</v>
      </c>
      <c r="FA5" t="s">
        <v>69</v>
      </c>
      <c r="FB5" t="s">
        <v>75</v>
      </c>
      <c r="FC5" t="s">
        <v>69</v>
      </c>
      <c r="FD5">
        <v>146.18899999999999</v>
      </c>
      <c r="FE5" t="s">
        <v>69</v>
      </c>
      <c r="FF5" t="s">
        <v>69</v>
      </c>
      <c r="FG5">
        <v>116</v>
      </c>
      <c r="FH5" t="s">
        <v>115</v>
      </c>
      <c r="FI5" t="s">
        <v>69</v>
      </c>
      <c r="FJ5" t="s">
        <v>71</v>
      </c>
      <c r="FK5" t="s">
        <v>69</v>
      </c>
      <c r="FL5">
        <v>117.148</v>
      </c>
      <c r="FM5" t="s">
        <v>69</v>
      </c>
      <c r="FN5" t="s">
        <v>69</v>
      </c>
      <c r="FO5">
        <v>120</v>
      </c>
      <c r="FP5" t="s">
        <v>119</v>
      </c>
      <c r="FQ5" t="s">
        <v>69</v>
      </c>
      <c r="FR5" t="s">
        <v>120</v>
      </c>
      <c r="FS5" t="s">
        <v>69</v>
      </c>
      <c r="FT5">
        <v>147.131</v>
      </c>
      <c r="FU5" t="s">
        <v>69</v>
      </c>
      <c r="FV5" t="s">
        <v>69</v>
      </c>
    </row>
    <row r="6" spans="1:178" x14ac:dyDescent="0.25">
      <c r="A6">
        <v>7</v>
      </c>
      <c r="B6" t="str">
        <f>HYPERLINK("http://www.ncbi.nlm.nih.gov/protein/XP_003915187.1","XP_003915187.1")</f>
        <v>XP_003915187.1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HYPERLINK("http://www.ncbi.nlm.nih.gov/protein/XP_003915187.1","bone marrow stromal antigen 2")</f>
        <v>bone marrow stromal antigen 2</v>
      </c>
      <c r="I6" t="s">
        <v>248</v>
      </c>
      <c r="J6" t="s">
        <v>69</v>
      </c>
      <c r="K6">
        <v>51</v>
      </c>
      <c r="L6" t="s">
        <v>73</v>
      </c>
      <c r="M6" t="s">
        <v>69</v>
      </c>
      <c r="N6" t="s">
        <v>71</v>
      </c>
      <c r="O6" t="s">
        <v>69</v>
      </c>
      <c r="P6">
        <v>89.093999999999994</v>
      </c>
      <c r="Q6" t="s">
        <v>69</v>
      </c>
      <c r="R6" t="s">
        <v>69</v>
      </c>
      <c r="S6">
        <v>52</v>
      </c>
      <c r="T6" t="s">
        <v>153</v>
      </c>
      <c r="U6" t="s">
        <v>69</v>
      </c>
      <c r="V6" t="s">
        <v>148</v>
      </c>
      <c r="W6" t="s">
        <v>69</v>
      </c>
      <c r="X6">
        <v>132.119</v>
      </c>
      <c r="Y6" t="s">
        <v>69</v>
      </c>
      <c r="Z6" t="s">
        <v>69</v>
      </c>
      <c r="AA6">
        <v>53</v>
      </c>
      <c r="AB6" t="s">
        <v>155</v>
      </c>
      <c r="AC6" t="s">
        <v>69</v>
      </c>
      <c r="AD6" t="s">
        <v>150</v>
      </c>
      <c r="AE6" t="s">
        <v>69</v>
      </c>
      <c r="AF6">
        <v>105.093</v>
      </c>
      <c r="AG6" t="s">
        <v>69</v>
      </c>
      <c r="AH6" t="s">
        <v>69</v>
      </c>
      <c r="AI6">
        <v>54</v>
      </c>
      <c r="AJ6" t="s">
        <v>119</v>
      </c>
      <c r="AK6" t="s">
        <v>69</v>
      </c>
      <c r="AL6" t="s">
        <v>120</v>
      </c>
      <c r="AM6" t="s">
        <v>69</v>
      </c>
      <c r="AN6">
        <v>147.131</v>
      </c>
      <c r="AO6" t="s">
        <v>69</v>
      </c>
      <c r="AP6" t="s">
        <v>69</v>
      </c>
      <c r="AQ6">
        <v>55</v>
      </c>
      <c r="AR6" t="s">
        <v>73</v>
      </c>
      <c r="AS6" t="s">
        <v>69</v>
      </c>
      <c r="AT6" t="s">
        <v>71</v>
      </c>
      <c r="AU6" t="s">
        <v>69</v>
      </c>
      <c r="AV6">
        <v>89.093999999999994</v>
      </c>
      <c r="AW6" t="s">
        <v>69</v>
      </c>
      <c r="AX6" t="s">
        <v>69</v>
      </c>
      <c r="AY6">
        <v>56</v>
      </c>
      <c r="AZ6" t="s">
        <v>249</v>
      </c>
      <c r="BA6" t="s">
        <v>69</v>
      </c>
      <c r="BB6" t="s">
        <v>117</v>
      </c>
      <c r="BC6" t="s">
        <v>69</v>
      </c>
      <c r="BD6">
        <v>121.154</v>
      </c>
      <c r="BE6" t="s">
        <v>69</v>
      </c>
      <c r="BF6" t="s">
        <v>69</v>
      </c>
      <c r="BG6">
        <v>87</v>
      </c>
      <c r="BH6" t="s">
        <v>73</v>
      </c>
      <c r="BI6" t="s">
        <v>153</v>
      </c>
      <c r="BJ6" t="s">
        <v>71</v>
      </c>
      <c r="BK6" t="s">
        <v>69</v>
      </c>
      <c r="BL6">
        <v>89.093999999999994</v>
      </c>
      <c r="BM6" t="s">
        <v>69</v>
      </c>
      <c r="BN6" t="s">
        <v>69</v>
      </c>
      <c r="BO6">
        <v>88</v>
      </c>
      <c r="BP6" t="s">
        <v>119</v>
      </c>
      <c r="BQ6" t="s">
        <v>69</v>
      </c>
      <c r="BR6" t="s">
        <v>120</v>
      </c>
      <c r="BS6" t="s">
        <v>69</v>
      </c>
      <c r="BT6">
        <v>147.131</v>
      </c>
      <c r="BU6" t="s">
        <v>69</v>
      </c>
      <c r="BV6" t="s">
        <v>69</v>
      </c>
      <c r="BW6">
        <v>90</v>
      </c>
      <c r="BX6" t="s">
        <v>147</v>
      </c>
      <c r="BY6" t="s">
        <v>69</v>
      </c>
      <c r="BZ6" t="s">
        <v>148</v>
      </c>
      <c r="CA6" t="s">
        <v>69</v>
      </c>
      <c r="CB6">
        <v>146.14599999999999</v>
      </c>
      <c r="CC6" t="s">
        <v>69</v>
      </c>
      <c r="CD6" t="s">
        <v>69</v>
      </c>
      <c r="CE6">
        <v>91</v>
      </c>
      <c r="CF6" t="s">
        <v>73</v>
      </c>
      <c r="CG6" t="s">
        <v>69</v>
      </c>
      <c r="CH6" t="s">
        <v>71</v>
      </c>
      <c r="CI6" t="s">
        <v>69</v>
      </c>
      <c r="CJ6">
        <v>89.093999999999994</v>
      </c>
      <c r="CK6" t="s">
        <v>69</v>
      </c>
      <c r="CL6" t="s">
        <v>69</v>
      </c>
      <c r="CM6">
        <v>92</v>
      </c>
      <c r="CN6" t="s">
        <v>115</v>
      </c>
      <c r="CO6" t="s">
        <v>153</v>
      </c>
      <c r="CP6" t="s">
        <v>71</v>
      </c>
      <c r="CQ6" t="s">
        <v>69</v>
      </c>
      <c r="CR6">
        <v>117.148</v>
      </c>
      <c r="CS6" t="s">
        <v>69</v>
      </c>
      <c r="CT6" t="s">
        <v>69</v>
      </c>
      <c r="CU6">
        <v>94</v>
      </c>
      <c r="CV6" t="s">
        <v>249</v>
      </c>
      <c r="CW6" t="s">
        <v>69</v>
      </c>
      <c r="CX6" t="s">
        <v>117</v>
      </c>
      <c r="CY6" t="s">
        <v>69</v>
      </c>
      <c r="CZ6">
        <v>121.154</v>
      </c>
      <c r="DA6" t="s">
        <v>69</v>
      </c>
      <c r="DB6" t="s">
        <v>69</v>
      </c>
      <c r="DC6">
        <v>95</v>
      </c>
      <c r="DD6" t="s">
        <v>153</v>
      </c>
      <c r="DE6" t="s">
        <v>69</v>
      </c>
      <c r="DF6" t="s">
        <v>148</v>
      </c>
      <c r="DG6" t="s">
        <v>69</v>
      </c>
      <c r="DH6">
        <v>132.119</v>
      </c>
      <c r="DI6" t="s">
        <v>69</v>
      </c>
      <c r="DJ6" t="s">
        <v>69</v>
      </c>
      <c r="DK6">
        <v>108</v>
      </c>
      <c r="DL6" t="s">
        <v>119</v>
      </c>
      <c r="DM6" t="s">
        <v>69</v>
      </c>
      <c r="DN6" t="s">
        <v>120</v>
      </c>
      <c r="DO6" t="s">
        <v>69</v>
      </c>
      <c r="DP6">
        <v>147.131</v>
      </c>
      <c r="DQ6" t="s">
        <v>69</v>
      </c>
      <c r="DR6" t="s">
        <v>69</v>
      </c>
      <c r="DS6">
        <v>109</v>
      </c>
      <c r="DT6" t="s">
        <v>76</v>
      </c>
      <c r="DU6" t="s">
        <v>69</v>
      </c>
      <c r="DV6" t="s">
        <v>75</v>
      </c>
      <c r="DW6" t="s">
        <v>69</v>
      </c>
      <c r="DX6">
        <v>146.18899999999999</v>
      </c>
      <c r="DY6" t="s">
        <v>69</v>
      </c>
      <c r="DZ6" t="s">
        <v>69</v>
      </c>
      <c r="EA6">
        <v>111</v>
      </c>
      <c r="EB6" t="s">
        <v>147</v>
      </c>
      <c r="EC6" t="s">
        <v>69</v>
      </c>
      <c r="ED6" t="s">
        <v>148</v>
      </c>
      <c r="EE6" t="s">
        <v>69</v>
      </c>
      <c r="EF6">
        <v>146.14599999999999</v>
      </c>
      <c r="EG6" t="s">
        <v>69</v>
      </c>
      <c r="EH6" t="s">
        <v>69</v>
      </c>
      <c r="EI6">
        <v>112</v>
      </c>
      <c r="EJ6" t="s">
        <v>70</v>
      </c>
      <c r="EK6" t="s">
        <v>69</v>
      </c>
      <c r="EL6" t="s">
        <v>71</v>
      </c>
      <c r="EM6" t="s">
        <v>69</v>
      </c>
      <c r="EN6">
        <v>75.066999999999993</v>
      </c>
      <c r="EO6" t="s">
        <v>69</v>
      </c>
      <c r="EP6" t="s">
        <v>69</v>
      </c>
      <c r="EQ6">
        <v>113</v>
      </c>
      <c r="ER6" t="s">
        <v>74</v>
      </c>
      <c r="ES6" t="s">
        <v>153</v>
      </c>
      <c r="ET6" t="s">
        <v>75</v>
      </c>
      <c r="EU6" t="s">
        <v>153</v>
      </c>
      <c r="EV6">
        <v>174.203</v>
      </c>
      <c r="EW6" t="s">
        <v>69</v>
      </c>
      <c r="EX6" t="s">
        <v>69</v>
      </c>
      <c r="EY6">
        <v>115</v>
      </c>
      <c r="EZ6" t="s">
        <v>76</v>
      </c>
      <c r="FA6" t="s">
        <v>69</v>
      </c>
      <c r="FB6" t="s">
        <v>75</v>
      </c>
      <c r="FC6" t="s">
        <v>69</v>
      </c>
      <c r="FD6">
        <v>146.18899999999999</v>
      </c>
      <c r="FE6" t="s">
        <v>69</v>
      </c>
      <c r="FF6" t="s">
        <v>69</v>
      </c>
      <c r="FG6">
        <v>116</v>
      </c>
      <c r="FH6" t="s">
        <v>115</v>
      </c>
      <c r="FI6" t="s">
        <v>69</v>
      </c>
      <c r="FJ6" t="s">
        <v>71</v>
      </c>
      <c r="FK6" t="s">
        <v>69</v>
      </c>
      <c r="FL6">
        <v>117.148</v>
      </c>
      <c r="FM6" t="s">
        <v>69</v>
      </c>
      <c r="FN6" t="s">
        <v>69</v>
      </c>
      <c r="FO6">
        <v>120</v>
      </c>
      <c r="FP6" t="s">
        <v>119</v>
      </c>
      <c r="FQ6" t="s">
        <v>69</v>
      </c>
      <c r="FR6" t="s">
        <v>120</v>
      </c>
      <c r="FS6" t="s">
        <v>69</v>
      </c>
      <c r="FT6">
        <v>147.131</v>
      </c>
      <c r="FU6" t="s">
        <v>69</v>
      </c>
      <c r="FV6" t="s">
        <v>69</v>
      </c>
    </row>
    <row r="7" spans="1:178" x14ac:dyDescent="0.25">
      <c r="A7">
        <v>7</v>
      </c>
      <c r="B7" t="str">
        <f>HYPERLINK("http://www.ncbi.nlm.nih.gov/protein/XP_035139505.1","XP_035139505.1")</f>
        <v>XP_035139505.1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HYPERLINK("http://www.ncbi.nlm.nih.gov/protein/XP_035139505.1","bone marrow stromal antigen 2")</f>
        <v>bone marrow stromal antigen 2</v>
      </c>
      <c r="I7" t="s">
        <v>248</v>
      </c>
      <c r="J7" t="s">
        <v>153</v>
      </c>
      <c r="K7">
        <v>55</v>
      </c>
      <c r="L7" t="s">
        <v>73</v>
      </c>
      <c r="M7" t="s">
        <v>69</v>
      </c>
      <c r="N7" t="s">
        <v>71</v>
      </c>
      <c r="O7" t="s">
        <v>69</v>
      </c>
      <c r="P7">
        <v>89.093999999999994</v>
      </c>
      <c r="Q7" t="s">
        <v>69</v>
      </c>
      <c r="R7" t="s">
        <v>69</v>
      </c>
      <c r="S7">
        <v>56</v>
      </c>
      <c r="T7" t="s">
        <v>153</v>
      </c>
      <c r="U7" t="s">
        <v>69</v>
      </c>
      <c r="V7" t="s">
        <v>148</v>
      </c>
      <c r="W7" t="s">
        <v>69</v>
      </c>
      <c r="X7">
        <v>132.119</v>
      </c>
      <c r="Y7" t="s">
        <v>69</v>
      </c>
      <c r="Z7" t="s">
        <v>69</v>
      </c>
      <c r="AA7">
        <v>57</v>
      </c>
      <c r="AB7" t="s">
        <v>155</v>
      </c>
      <c r="AC7" t="s">
        <v>69</v>
      </c>
      <c r="AD7" t="s">
        <v>150</v>
      </c>
      <c r="AE7" t="s">
        <v>69</v>
      </c>
      <c r="AF7">
        <v>105.093</v>
      </c>
      <c r="AG7" t="s">
        <v>69</v>
      </c>
      <c r="AH7" t="s">
        <v>69</v>
      </c>
      <c r="AI7">
        <v>58</v>
      </c>
      <c r="AJ7" t="s">
        <v>119</v>
      </c>
      <c r="AK7" t="s">
        <v>69</v>
      </c>
      <c r="AL7" t="s">
        <v>120</v>
      </c>
      <c r="AM7" t="s">
        <v>69</v>
      </c>
      <c r="AN7">
        <v>147.131</v>
      </c>
      <c r="AO7" t="s">
        <v>69</v>
      </c>
      <c r="AP7" t="s">
        <v>69</v>
      </c>
      <c r="AQ7">
        <v>59</v>
      </c>
      <c r="AR7" t="s">
        <v>73</v>
      </c>
      <c r="AS7" t="s">
        <v>69</v>
      </c>
      <c r="AT7" t="s">
        <v>71</v>
      </c>
      <c r="AU7" t="s">
        <v>69</v>
      </c>
      <c r="AV7">
        <v>89.093999999999994</v>
      </c>
      <c r="AW7" t="s">
        <v>69</v>
      </c>
      <c r="AX7" t="s">
        <v>69</v>
      </c>
      <c r="AY7">
        <v>60</v>
      </c>
      <c r="AZ7" t="s">
        <v>249</v>
      </c>
      <c r="BA7" t="s">
        <v>69</v>
      </c>
      <c r="BB7" t="s">
        <v>117</v>
      </c>
      <c r="BC7" t="s">
        <v>69</v>
      </c>
      <c r="BD7">
        <v>121.154</v>
      </c>
      <c r="BE7" t="s">
        <v>69</v>
      </c>
      <c r="BF7" t="s">
        <v>69</v>
      </c>
      <c r="BG7">
        <v>91</v>
      </c>
      <c r="BH7" t="s">
        <v>73</v>
      </c>
      <c r="BI7" t="s">
        <v>153</v>
      </c>
      <c r="BJ7" t="s">
        <v>71</v>
      </c>
      <c r="BK7" t="s">
        <v>69</v>
      </c>
      <c r="BL7">
        <v>89.093999999999994</v>
      </c>
      <c r="BM7" t="s">
        <v>69</v>
      </c>
      <c r="BN7" t="s">
        <v>69</v>
      </c>
      <c r="BO7">
        <v>92</v>
      </c>
      <c r="BP7" t="s">
        <v>119</v>
      </c>
      <c r="BQ7" t="s">
        <v>69</v>
      </c>
      <c r="BR7" t="s">
        <v>120</v>
      </c>
      <c r="BS7" t="s">
        <v>69</v>
      </c>
      <c r="BT7">
        <v>147.131</v>
      </c>
      <c r="BU7" t="s">
        <v>69</v>
      </c>
      <c r="BV7" t="s">
        <v>69</v>
      </c>
      <c r="BW7">
        <v>94</v>
      </c>
      <c r="BX7" t="s">
        <v>147</v>
      </c>
      <c r="BY7" t="s">
        <v>69</v>
      </c>
      <c r="BZ7" t="s">
        <v>148</v>
      </c>
      <c r="CA7" t="s">
        <v>69</v>
      </c>
      <c r="CB7">
        <v>146.14599999999999</v>
      </c>
      <c r="CC7" t="s">
        <v>69</v>
      </c>
      <c r="CD7" t="s">
        <v>69</v>
      </c>
      <c r="CE7">
        <v>95</v>
      </c>
      <c r="CF7" t="s">
        <v>145</v>
      </c>
      <c r="CG7" t="s">
        <v>153</v>
      </c>
      <c r="CH7" t="s">
        <v>71</v>
      </c>
      <c r="CI7" t="s">
        <v>69</v>
      </c>
      <c r="CJ7">
        <v>131.17500000000001</v>
      </c>
      <c r="CK7" t="s">
        <v>153</v>
      </c>
      <c r="CL7" t="s">
        <v>69</v>
      </c>
      <c r="CM7">
        <v>96</v>
      </c>
      <c r="CN7" t="s">
        <v>73</v>
      </c>
      <c r="CO7" t="s">
        <v>69</v>
      </c>
      <c r="CP7" t="s">
        <v>71</v>
      </c>
      <c r="CQ7" t="s">
        <v>69</v>
      </c>
      <c r="CR7">
        <v>89.093999999999994</v>
      </c>
      <c r="CS7" t="s">
        <v>69</v>
      </c>
      <c r="CT7" t="s">
        <v>69</v>
      </c>
      <c r="CU7">
        <v>98</v>
      </c>
      <c r="CV7" t="s">
        <v>69</v>
      </c>
      <c r="CW7" t="s">
        <v>153</v>
      </c>
      <c r="CX7" t="s">
        <v>152</v>
      </c>
      <c r="CY7" t="s">
        <v>153</v>
      </c>
      <c r="CZ7">
        <v>181.191</v>
      </c>
      <c r="DA7" t="s">
        <v>153</v>
      </c>
      <c r="DB7" t="s">
        <v>153</v>
      </c>
      <c r="DC7">
        <v>99</v>
      </c>
      <c r="DD7" t="s">
        <v>153</v>
      </c>
      <c r="DE7" t="s">
        <v>69</v>
      </c>
      <c r="DF7" t="s">
        <v>148</v>
      </c>
      <c r="DG7" t="s">
        <v>69</v>
      </c>
      <c r="DH7">
        <v>132.119</v>
      </c>
      <c r="DI7" t="s">
        <v>69</v>
      </c>
      <c r="DJ7" t="s">
        <v>69</v>
      </c>
      <c r="DK7">
        <v>112</v>
      </c>
      <c r="DL7" t="s">
        <v>119</v>
      </c>
      <c r="DM7" t="s">
        <v>69</v>
      </c>
      <c r="DN7" t="s">
        <v>120</v>
      </c>
      <c r="DO7" t="s">
        <v>69</v>
      </c>
      <c r="DP7">
        <v>147.131</v>
      </c>
      <c r="DQ7" t="s">
        <v>69</v>
      </c>
      <c r="DR7" t="s">
        <v>69</v>
      </c>
      <c r="DS7">
        <v>113</v>
      </c>
      <c r="DT7" t="s">
        <v>76</v>
      </c>
      <c r="DU7" t="s">
        <v>69</v>
      </c>
      <c r="DV7" t="s">
        <v>75</v>
      </c>
      <c r="DW7" t="s">
        <v>69</v>
      </c>
      <c r="DX7">
        <v>146.18899999999999</v>
      </c>
      <c r="DY7" t="s">
        <v>69</v>
      </c>
      <c r="DZ7" t="s">
        <v>69</v>
      </c>
      <c r="EA7">
        <v>118</v>
      </c>
      <c r="EB7" t="s">
        <v>156</v>
      </c>
      <c r="EC7" t="s">
        <v>153</v>
      </c>
      <c r="ED7" t="s">
        <v>120</v>
      </c>
      <c r="EE7" t="s">
        <v>153</v>
      </c>
      <c r="EF7">
        <v>133.10400000000001</v>
      </c>
      <c r="EG7" t="s">
        <v>69</v>
      </c>
      <c r="EH7" t="s">
        <v>69</v>
      </c>
      <c r="EI7">
        <v>119</v>
      </c>
      <c r="EJ7" t="s">
        <v>73</v>
      </c>
      <c r="EK7" t="s">
        <v>153</v>
      </c>
      <c r="EL7" t="s">
        <v>71</v>
      </c>
      <c r="EM7" t="s">
        <v>69</v>
      </c>
      <c r="EN7">
        <v>89.093999999999994</v>
      </c>
      <c r="EO7" t="s">
        <v>69</v>
      </c>
      <c r="EP7" t="s">
        <v>69</v>
      </c>
      <c r="EQ7">
        <v>120</v>
      </c>
      <c r="ER7" t="s">
        <v>119</v>
      </c>
      <c r="ES7" t="s">
        <v>153</v>
      </c>
      <c r="ET7" t="s">
        <v>120</v>
      </c>
      <c r="EU7" t="s">
        <v>153</v>
      </c>
      <c r="EV7">
        <v>147.131</v>
      </c>
      <c r="EW7" t="s">
        <v>69</v>
      </c>
      <c r="EX7" t="s">
        <v>69</v>
      </c>
      <c r="EY7">
        <v>122</v>
      </c>
      <c r="EZ7" t="s">
        <v>76</v>
      </c>
      <c r="FA7" t="s">
        <v>69</v>
      </c>
      <c r="FB7" t="s">
        <v>75</v>
      </c>
      <c r="FC7" t="s">
        <v>69</v>
      </c>
      <c r="FD7">
        <v>146.18899999999999</v>
      </c>
      <c r="FE7" t="s">
        <v>69</v>
      </c>
      <c r="FF7" t="s">
        <v>69</v>
      </c>
      <c r="FG7">
        <v>123</v>
      </c>
      <c r="FH7" t="s">
        <v>115</v>
      </c>
      <c r="FI7" t="s">
        <v>69</v>
      </c>
      <c r="FJ7" t="s">
        <v>71</v>
      </c>
      <c r="FK7" t="s">
        <v>69</v>
      </c>
      <c r="FL7">
        <v>117.148</v>
      </c>
      <c r="FM7" t="s">
        <v>69</v>
      </c>
      <c r="FN7" t="s">
        <v>69</v>
      </c>
      <c r="FO7">
        <v>127</v>
      </c>
      <c r="FP7" t="s">
        <v>119</v>
      </c>
      <c r="FQ7" t="s">
        <v>69</v>
      </c>
      <c r="FR7" t="s">
        <v>120</v>
      </c>
      <c r="FS7" t="s">
        <v>69</v>
      </c>
      <c r="FT7">
        <v>147.131</v>
      </c>
      <c r="FU7" t="s">
        <v>69</v>
      </c>
      <c r="FV7" t="s">
        <v>69</v>
      </c>
    </row>
    <row r="8" spans="1:178" x14ac:dyDescent="0.25">
      <c r="A8">
        <v>7</v>
      </c>
      <c r="B8" t="str">
        <f>HYPERLINK("http://www.ncbi.nlm.nih.gov/protein/XP_047687866.1","XP_047687866.1")</f>
        <v>XP_047687866.1</v>
      </c>
      <c r="C8">
        <v>56399</v>
      </c>
      <c r="D8" t="str">
        <f>HYPERLINK("http://www.ncbi.nlm.nih.gov/Taxonomy/Browser/wwwtax.cgi?mode=Info&amp;id=61388&amp;lvl=3&amp;lin=f&amp;keep=1&amp;srchmode=1&amp;unlock","61388")</f>
        <v>61388</v>
      </c>
      <c r="E8" t="s">
        <v>66</v>
      </c>
      <c r="F8" t="str">
        <f>HYPERLINK("http://www.ncbi.nlm.nih.gov/Taxonomy/Browser/wwwtax.cgi?mode=Info&amp;id=61388&amp;lvl=3&amp;lin=f&amp;keep=1&amp;srchmode=1&amp;unlock","Prionailurus viverrinus")</f>
        <v>Prionailurus viverrinus</v>
      </c>
      <c r="G8" t="s">
        <v>94</v>
      </c>
      <c r="H8" t="str">
        <f>HYPERLINK("http://www.ncbi.nlm.nih.gov/protein/XP_047687866.1","bone marrow stromal antigen 2-like")</f>
        <v>bone marrow stromal antigen 2-like</v>
      </c>
      <c r="I8" t="s">
        <v>248</v>
      </c>
      <c r="J8" t="s">
        <v>153</v>
      </c>
      <c r="K8">
        <v>35</v>
      </c>
      <c r="L8" t="s">
        <v>73</v>
      </c>
      <c r="M8" t="s">
        <v>69</v>
      </c>
      <c r="N8" t="s">
        <v>71</v>
      </c>
      <c r="O8" t="s">
        <v>69</v>
      </c>
      <c r="P8">
        <v>89.093999999999994</v>
      </c>
      <c r="Q8" t="s">
        <v>69</v>
      </c>
      <c r="R8" t="s">
        <v>69</v>
      </c>
      <c r="S8">
        <v>36</v>
      </c>
      <c r="T8" t="s">
        <v>153</v>
      </c>
      <c r="U8" t="s">
        <v>69</v>
      </c>
      <c r="V8" t="s">
        <v>148</v>
      </c>
      <c r="W8" t="s">
        <v>69</v>
      </c>
      <c r="X8">
        <v>132.119</v>
      </c>
      <c r="Y8" t="s">
        <v>69</v>
      </c>
      <c r="Z8" t="s">
        <v>69</v>
      </c>
      <c r="AA8">
        <v>37</v>
      </c>
      <c r="AB8" t="s">
        <v>155</v>
      </c>
      <c r="AC8" t="s">
        <v>69</v>
      </c>
      <c r="AD8" t="s">
        <v>150</v>
      </c>
      <c r="AE8" t="s">
        <v>69</v>
      </c>
      <c r="AF8">
        <v>105.093</v>
      </c>
      <c r="AG8" t="s">
        <v>69</v>
      </c>
      <c r="AH8" t="s">
        <v>69</v>
      </c>
      <c r="AI8">
        <v>38</v>
      </c>
      <c r="AJ8" t="s">
        <v>76</v>
      </c>
      <c r="AK8" t="s">
        <v>153</v>
      </c>
      <c r="AL8" t="s">
        <v>75</v>
      </c>
      <c r="AM8" t="s">
        <v>153</v>
      </c>
      <c r="AN8">
        <v>146.18899999999999</v>
      </c>
      <c r="AO8" t="s">
        <v>69</v>
      </c>
      <c r="AP8" t="s">
        <v>69</v>
      </c>
      <c r="AQ8">
        <v>39</v>
      </c>
      <c r="AR8" t="s">
        <v>73</v>
      </c>
      <c r="AS8" t="s">
        <v>69</v>
      </c>
      <c r="AT8" t="s">
        <v>71</v>
      </c>
      <c r="AU8" t="s">
        <v>69</v>
      </c>
      <c r="AV8">
        <v>89.093999999999994</v>
      </c>
      <c r="AW8" t="s">
        <v>69</v>
      </c>
      <c r="AX8" t="s">
        <v>69</v>
      </c>
      <c r="AY8">
        <v>40</v>
      </c>
      <c r="AZ8" t="s">
        <v>249</v>
      </c>
      <c r="BA8" t="s">
        <v>69</v>
      </c>
      <c r="BB8" t="s">
        <v>117</v>
      </c>
      <c r="BC8" t="s">
        <v>69</v>
      </c>
      <c r="BD8">
        <v>121.154</v>
      </c>
      <c r="BE8" t="s">
        <v>69</v>
      </c>
      <c r="BF8" t="s">
        <v>69</v>
      </c>
      <c r="BG8">
        <v>71</v>
      </c>
      <c r="BH8" t="s">
        <v>149</v>
      </c>
      <c r="BI8" t="s">
        <v>153</v>
      </c>
      <c r="BJ8" t="s">
        <v>150</v>
      </c>
      <c r="BK8" t="s">
        <v>153</v>
      </c>
      <c r="BL8">
        <v>119.119</v>
      </c>
      <c r="BM8" t="s">
        <v>69</v>
      </c>
      <c r="BN8" t="s">
        <v>69</v>
      </c>
      <c r="BO8">
        <v>72</v>
      </c>
      <c r="BP8" t="s">
        <v>119</v>
      </c>
      <c r="BQ8" t="s">
        <v>69</v>
      </c>
      <c r="BR8" t="s">
        <v>120</v>
      </c>
      <c r="BS8" t="s">
        <v>69</v>
      </c>
      <c r="BT8">
        <v>147.131</v>
      </c>
      <c r="BU8" t="s">
        <v>69</v>
      </c>
      <c r="BV8" t="s">
        <v>69</v>
      </c>
      <c r="BW8">
        <v>74</v>
      </c>
      <c r="BX8" t="s">
        <v>147</v>
      </c>
      <c r="BY8" t="s">
        <v>69</v>
      </c>
      <c r="BZ8" t="s">
        <v>148</v>
      </c>
      <c r="CA8" t="s">
        <v>69</v>
      </c>
      <c r="CB8">
        <v>146.14599999999999</v>
      </c>
      <c r="CC8" t="s">
        <v>69</v>
      </c>
      <c r="CD8" t="s">
        <v>69</v>
      </c>
      <c r="CE8">
        <v>75</v>
      </c>
      <c r="CF8" t="s">
        <v>73</v>
      </c>
      <c r="CG8" t="s">
        <v>69</v>
      </c>
      <c r="CH8" t="s">
        <v>71</v>
      </c>
      <c r="CI8" t="s">
        <v>69</v>
      </c>
      <c r="CJ8">
        <v>89.093999999999994</v>
      </c>
      <c r="CK8" t="s">
        <v>69</v>
      </c>
      <c r="CL8" t="s">
        <v>69</v>
      </c>
      <c r="CM8">
        <v>76</v>
      </c>
      <c r="CN8" t="s">
        <v>73</v>
      </c>
      <c r="CO8" t="s">
        <v>69</v>
      </c>
      <c r="CP8" t="s">
        <v>71</v>
      </c>
      <c r="CQ8" t="s">
        <v>69</v>
      </c>
      <c r="CR8">
        <v>89.093999999999994</v>
      </c>
      <c r="CS8" t="s">
        <v>69</v>
      </c>
      <c r="CT8" t="s">
        <v>69</v>
      </c>
      <c r="CU8">
        <v>78</v>
      </c>
      <c r="CV8" t="s">
        <v>249</v>
      </c>
      <c r="CW8" t="s">
        <v>69</v>
      </c>
      <c r="CX8" t="s">
        <v>117</v>
      </c>
      <c r="CY8" t="s">
        <v>69</v>
      </c>
      <c r="CZ8">
        <v>121.154</v>
      </c>
      <c r="DA8" t="s">
        <v>69</v>
      </c>
      <c r="DB8" t="s">
        <v>69</v>
      </c>
      <c r="DC8">
        <v>79</v>
      </c>
      <c r="DD8" t="s">
        <v>153</v>
      </c>
      <c r="DE8" t="s">
        <v>69</v>
      </c>
      <c r="DF8" t="s">
        <v>148</v>
      </c>
      <c r="DG8" t="s">
        <v>69</v>
      </c>
      <c r="DH8">
        <v>132.119</v>
      </c>
      <c r="DI8" t="s">
        <v>69</v>
      </c>
      <c r="DJ8" t="s">
        <v>69</v>
      </c>
      <c r="DK8">
        <v>92</v>
      </c>
      <c r="DL8" t="s">
        <v>119</v>
      </c>
      <c r="DM8" t="s">
        <v>69</v>
      </c>
      <c r="DN8" t="s">
        <v>120</v>
      </c>
      <c r="DO8" t="s">
        <v>69</v>
      </c>
      <c r="DP8">
        <v>147.131</v>
      </c>
      <c r="DQ8" t="s">
        <v>69</v>
      </c>
      <c r="DR8" t="s">
        <v>69</v>
      </c>
      <c r="DS8">
        <v>93</v>
      </c>
      <c r="DT8" t="s">
        <v>76</v>
      </c>
      <c r="DU8" t="s">
        <v>69</v>
      </c>
      <c r="DV8" t="s">
        <v>75</v>
      </c>
      <c r="DW8" t="s">
        <v>69</v>
      </c>
      <c r="DX8">
        <v>146.18899999999999</v>
      </c>
      <c r="DY8" t="s">
        <v>69</v>
      </c>
      <c r="DZ8" t="s">
        <v>69</v>
      </c>
      <c r="EA8">
        <v>98</v>
      </c>
      <c r="EB8" t="s">
        <v>119</v>
      </c>
      <c r="EC8" t="s">
        <v>153</v>
      </c>
      <c r="ED8" t="s">
        <v>120</v>
      </c>
      <c r="EE8" t="s">
        <v>153</v>
      </c>
      <c r="EF8">
        <v>147.131</v>
      </c>
      <c r="EG8" t="s">
        <v>69</v>
      </c>
      <c r="EH8" t="s">
        <v>69</v>
      </c>
      <c r="EI8">
        <v>99</v>
      </c>
      <c r="EJ8" t="s">
        <v>250</v>
      </c>
      <c r="EK8" t="s">
        <v>153</v>
      </c>
      <c r="EL8" t="s">
        <v>152</v>
      </c>
      <c r="EM8" t="s">
        <v>153</v>
      </c>
      <c r="EN8">
        <v>204.22800000000001</v>
      </c>
      <c r="EO8" t="s">
        <v>153</v>
      </c>
      <c r="EP8" t="s">
        <v>153</v>
      </c>
      <c r="EQ8">
        <v>100</v>
      </c>
      <c r="ER8" t="s">
        <v>72</v>
      </c>
      <c r="ES8" t="s">
        <v>153</v>
      </c>
      <c r="ET8" t="s">
        <v>71</v>
      </c>
      <c r="EU8" t="s">
        <v>153</v>
      </c>
      <c r="EV8">
        <v>131.17500000000001</v>
      </c>
      <c r="EW8" t="s">
        <v>69</v>
      </c>
      <c r="EX8" t="s">
        <v>69</v>
      </c>
      <c r="EY8">
        <v>102</v>
      </c>
      <c r="EZ8" t="s">
        <v>76</v>
      </c>
      <c r="FA8" t="s">
        <v>69</v>
      </c>
      <c r="FB8" t="s">
        <v>75</v>
      </c>
      <c r="FC8" t="s">
        <v>69</v>
      </c>
      <c r="FD8">
        <v>146.18899999999999</v>
      </c>
      <c r="FE8" t="s">
        <v>69</v>
      </c>
      <c r="FF8" t="s">
        <v>69</v>
      </c>
      <c r="FG8">
        <v>103</v>
      </c>
      <c r="FH8" t="s">
        <v>74</v>
      </c>
      <c r="FI8" t="s">
        <v>153</v>
      </c>
      <c r="FJ8" t="s">
        <v>75</v>
      </c>
      <c r="FK8" t="s">
        <v>153</v>
      </c>
      <c r="FL8">
        <v>174.203</v>
      </c>
      <c r="FM8" t="s">
        <v>153</v>
      </c>
      <c r="FN8" t="s">
        <v>153</v>
      </c>
      <c r="FO8">
        <v>107</v>
      </c>
      <c r="FP8" t="s">
        <v>74</v>
      </c>
      <c r="FQ8" t="s">
        <v>153</v>
      </c>
      <c r="FR8" t="s">
        <v>75</v>
      </c>
      <c r="FS8" t="s">
        <v>153</v>
      </c>
      <c r="FT8">
        <v>174.203</v>
      </c>
      <c r="FU8" t="s">
        <v>69</v>
      </c>
      <c r="FV8" t="s">
        <v>69</v>
      </c>
    </row>
    <row r="9" spans="1:178" x14ac:dyDescent="0.25">
      <c r="A9">
        <v>7</v>
      </c>
      <c r="B9" t="str">
        <f>HYPERLINK("http://www.ncbi.nlm.nih.gov/protein/CAD7685381.1","CAD7685381.1")</f>
        <v>CAD7685381.1</v>
      </c>
      <c r="C9">
        <v>27271</v>
      </c>
      <c r="D9" t="str">
        <f>HYPERLINK("http://www.ncbi.nlm.nih.gov/Taxonomy/Browser/wwwtax.cgi?mode=Info&amp;id=34880&amp;lvl=3&amp;lin=f&amp;keep=1&amp;srchmode=1&amp;unlock","34880")</f>
        <v>34880</v>
      </c>
      <c r="E9" t="s">
        <v>66</v>
      </c>
      <c r="F9" t="str">
        <f>HYPERLINK("http://www.ncbi.nlm.nih.gov/Taxonomy/Browser/wwwtax.cgi?mode=Info&amp;id=34880&amp;lvl=3&amp;lin=f&amp;keep=1&amp;srchmode=1&amp;unlock","Nyctereutes procyonoides")</f>
        <v>Nyctereutes procyonoides</v>
      </c>
      <c r="G9" t="s">
        <v>92</v>
      </c>
      <c r="H9" t="str">
        <f>HYPERLINK("http://www.ncbi.nlm.nih.gov/protein/CAD7685381.1","unnamed protein product")</f>
        <v>unnamed protein product</v>
      </c>
      <c r="I9" t="s">
        <v>248</v>
      </c>
      <c r="J9" t="s">
        <v>153</v>
      </c>
      <c r="K9">
        <v>54</v>
      </c>
      <c r="L9" t="s">
        <v>73</v>
      </c>
      <c r="M9" t="s">
        <v>69</v>
      </c>
      <c r="N9" t="s">
        <v>71</v>
      </c>
      <c r="O9" t="s">
        <v>69</v>
      </c>
      <c r="P9">
        <v>89.093999999999994</v>
      </c>
      <c r="Q9" t="s">
        <v>69</v>
      </c>
      <c r="R9" t="s">
        <v>69</v>
      </c>
      <c r="S9">
        <v>55</v>
      </c>
      <c r="T9" t="s">
        <v>153</v>
      </c>
      <c r="U9" t="s">
        <v>69</v>
      </c>
      <c r="V9" t="s">
        <v>148</v>
      </c>
      <c r="W9" t="s">
        <v>69</v>
      </c>
      <c r="X9">
        <v>132.119</v>
      </c>
      <c r="Y9" t="s">
        <v>69</v>
      </c>
      <c r="Z9" t="s">
        <v>69</v>
      </c>
      <c r="AA9">
        <v>56</v>
      </c>
      <c r="AB9" t="s">
        <v>155</v>
      </c>
      <c r="AC9" t="s">
        <v>69</v>
      </c>
      <c r="AD9" t="s">
        <v>150</v>
      </c>
      <c r="AE9" t="s">
        <v>69</v>
      </c>
      <c r="AF9">
        <v>105.093</v>
      </c>
      <c r="AG9" t="s">
        <v>69</v>
      </c>
      <c r="AH9" t="s">
        <v>69</v>
      </c>
      <c r="AI9">
        <v>57</v>
      </c>
      <c r="AJ9" t="s">
        <v>76</v>
      </c>
      <c r="AK9" t="s">
        <v>153</v>
      </c>
      <c r="AL9" t="s">
        <v>75</v>
      </c>
      <c r="AM9" t="s">
        <v>153</v>
      </c>
      <c r="AN9">
        <v>146.18899999999999</v>
      </c>
      <c r="AO9" t="s">
        <v>69</v>
      </c>
      <c r="AP9" t="s">
        <v>69</v>
      </c>
      <c r="AQ9">
        <v>58</v>
      </c>
      <c r="AR9" t="s">
        <v>73</v>
      </c>
      <c r="AS9" t="s">
        <v>69</v>
      </c>
      <c r="AT9" t="s">
        <v>71</v>
      </c>
      <c r="AU9" t="s">
        <v>69</v>
      </c>
      <c r="AV9">
        <v>89.093999999999994</v>
      </c>
      <c r="AW9" t="s">
        <v>69</v>
      </c>
      <c r="AX9" t="s">
        <v>69</v>
      </c>
      <c r="AY9">
        <v>59</v>
      </c>
      <c r="AZ9" t="s">
        <v>249</v>
      </c>
      <c r="BA9" t="s">
        <v>69</v>
      </c>
      <c r="BB9" t="s">
        <v>117</v>
      </c>
      <c r="BC9" t="s">
        <v>69</v>
      </c>
      <c r="BD9">
        <v>121.154</v>
      </c>
      <c r="BE9" t="s">
        <v>69</v>
      </c>
      <c r="BF9" t="s">
        <v>69</v>
      </c>
      <c r="BG9">
        <v>90</v>
      </c>
      <c r="BH9" t="s">
        <v>149</v>
      </c>
      <c r="BI9" t="s">
        <v>153</v>
      </c>
      <c r="BJ9" t="s">
        <v>150</v>
      </c>
      <c r="BK9" t="s">
        <v>153</v>
      </c>
      <c r="BL9">
        <v>119.119</v>
      </c>
      <c r="BM9" t="s">
        <v>69</v>
      </c>
      <c r="BN9" t="s">
        <v>69</v>
      </c>
      <c r="BO9">
        <v>91</v>
      </c>
      <c r="BP9" t="s">
        <v>116</v>
      </c>
      <c r="BQ9" t="s">
        <v>153</v>
      </c>
      <c r="BR9" t="s">
        <v>117</v>
      </c>
      <c r="BS9" t="s">
        <v>153</v>
      </c>
      <c r="BT9">
        <v>149.208</v>
      </c>
      <c r="BU9" t="s">
        <v>69</v>
      </c>
      <c r="BV9" t="s">
        <v>69</v>
      </c>
      <c r="BW9">
        <v>93</v>
      </c>
      <c r="BX9" t="s">
        <v>147</v>
      </c>
      <c r="BY9" t="s">
        <v>69</v>
      </c>
      <c r="BZ9" t="s">
        <v>148</v>
      </c>
      <c r="CA9" t="s">
        <v>69</v>
      </c>
      <c r="CB9">
        <v>146.14599999999999</v>
      </c>
      <c r="CC9" t="s">
        <v>69</v>
      </c>
      <c r="CD9" t="s">
        <v>69</v>
      </c>
      <c r="CE9">
        <v>94</v>
      </c>
      <c r="CF9" t="s">
        <v>73</v>
      </c>
      <c r="CG9" t="s">
        <v>69</v>
      </c>
      <c r="CH9" t="s">
        <v>71</v>
      </c>
      <c r="CI9" t="s">
        <v>69</v>
      </c>
      <c r="CJ9">
        <v>89.093999999999994</v>
      </c>
      <c r="CK9" t="s">
        <v>69</v>
      </c>
      <c r="CL9" t="s">
        <v>69</v>
      </c>
      <c r="CM9">
        <v>95</v>
      </c>
      <c r="CN9" t="s">
        <v>149</v>
      </c>
      <c r="CO9" t="s">
        <v>153</v>
      </c>
      <c r="CP9" t="s">
        <v>150</v>
      </c>
      <c r="CQ9" t="s">
        <v>153</v>
      </c>
      <c r="CR9">
        <v>119.119</v>
      </c>
      <c r="CS9" t="s">
        <v>153</v>
      </c>
      <c r="CT9" t="s">
        <v>153</v>
      </c>
      <c r="CU9">
        <v>97</v>
      </c>
      <c r="CV9" t="s">
        <v>249</v>
      </c>
      <c r="CW9" t="s">
        <v>69</v>
      </c>
      <c r="CX9" t="s">
        <v>117</v>
      </c>
      <c r="CY9" t="s">
        <v>69</v>
      </c>
      <c r="CZ9">
        <v>121.154</v>
      </c>
      <c r="DA9" t="s">
        <v>69</v>
      </c>
      <c r="DB9" t="s">
        <v>69</v>
      </c>
      <c r="DC9">
        <v>98</v>
      </c>
      <c r="DD9" t="s">
        <v>153</v>
      </c>
      <c r="DE9" t="s">
        <v>69</v>
      </c>
      <c r="DF9" t="s">
        <v>148</v>
      </c>
      <c r="DG9" t="s">
        <v>69</v>
      </c>
      <c r="DH9">
        <v>132.119</v>
      </c>
      <c r="DI9" t="s">
        <v>69</v>
      </c>
      <c r="DJ9" t="s">
        <v>69</v>
      </c>
      <c r="DK9">
        <v>111</v>
      </c>
      <c r="DL9" t="s">
        <v>119</v>
      </c>
      <c r="DM9" t="s">
        <v>69</v>
      </c>
      <c r="DN9" t="s">
        <v>120</v>
      </c>
      <c r="DO9" t="s">
        <v>69</v>
      </c>
      <c r="DP9">
        <v>147.131</v>
      </c>
      <c r="DQ9" t="s">
        <v>69</v>
      </c>
      <c r="DR9" t="s">
        <v>69</v>
      </c>
      <c r="DS9">
        <v>112</v>
      </c>
      <c r="DT9" t="s">
        <v>76</v>
      </c>
      <c r="DU9" t="s">
        <v>69</v>
      </c>
      <c r="DV9" t="s">
        <v>75</v>
      </c>
      <c r="DW9" t="s">
        <v>69</v>
      </c>
      <c r="DX9">
        <v>146.18899999999999</v>
      </c>
      <c r="DY9" t="s">
        <v>69</v>
      </c>
      <c r="DZ9" t="s">
        <v>69</v>
      </c>
      <c r="EA9">
        <v>117</v>
      </c>
      <c r="EB9" t="s">
        <v>119</v>
      </c>
      <c r="EC9" t="s">
        <v>153</v>
      </c>
      <c r="ED9" t="s">
        <v>120</v>
      </c>
      <c r="EE9" t="s">
        <v>153</v>
      </c>
      <c r="EF9">
        <v>147.131</v>
      </c>
      <c r="EG9" t="s">
        <v>69</v>
      </c>
      <c r="EH9" t="s">
        <v>69</v>
      </c>
      <c r="EI9">
        <v>118</v>
      </c>
      <c r="EJ9" t="s">
        <v>147</v>
      </c>
      <c r="EK9" t="s">
        <v>153</v>
      </c>
      <c r="EL9" t="s">
        <v>148</v>
      </c>
      <c r="EM9" t="s">
        <v>153</v>
      </c>
      <c r="EN9">
        <v>146.14599999999999</v>
      </c>
      <c r="EO9" t="s">
        <v>153</v>
      </c>
      <c r="EP9" t="s">
        <v>153</v>
      </c>
      <c r="EQ9">
        <v>119</v>
      </c>
      <c r="ER9" t="s">
        <v>72</v>
      </c>
      <c r="ES9" t="s">
        <v>153</v>
      </c>
      <c r="ET9" t="s">
        <v>71</v>
      </c>
      <c r="EU9" t="s">
        <v>153</v>
      </c>
      <c r="EV9">
        <v>131.17500000000001</v>
      </c>
      <c r="EW9" t="s">
        <v>69</v>
      </c>
      <c r="EX9" t="s">
        <v>69</v>
      </c>
      <c r="EY9">
        <v>121</v>
      </c>
      <c r="EZ9" t="s">
        <v>74</v>
      </c>
      <c r="FA9" t="s">
        <v>153</v>
      </c>
      <c r="FB9" t="s">
        <v>75</v>
      </c>
      <c r="FC9" t="s">
        <v>69</v>
      </c>
      <c r="FD9">
        <v>174.203</v>
      </c>
      <c r="FE9" t="s">
        <v>69</v>
      </c>
      <c r="FF9" t="s">
        <v>69</v>
      </c>
      <c r="FG9">
        <v>122</v>
      </c>
      <c r="FH9" t="s">
        <v>119</v>
      </c>
      <c r="FI9" t="s">
        <v>153</v>
      </c>
      <c r="FJ9" t="s">
        <v>120</v>
      </c>
      <c r="FK9" t="s">
        <v>153</v>
      </c>
      <c r="FL9">
        <v>147.131</v>
      </c>
      <c r="FM9" t="s">
        <v>69</v>
      </c>
      <c r="FN9" t="s">
        <v>69</v>
      </c>
      <c r="FO9">
        <v>126</v>
      </c>
      <c r="FP9" t="s">
        <v>147</v>
      </c>
      <c r="FQ9" t="s">
        <v>153</v>
      </c>
      <c r="FR9" t="s">
        <v>148</v>
      </c>
      <c r="FS9" t="s">
        <v>153</v>
      </c>
      <c r="FT9">
        <v>146.14599999999999</v>
      </c>
      <c r="FU9" t="s">
        <v>69</v>
      </c>
      <c r="FV9" t="s">
        <v>69</v>
      </c>
    </row>
    <row r="10" spans="1:178" x14ac:dyDescent="0.25">
      <c r="A10">
        <v>7</v>
      </c>
      <c r="B10" t="str">
        <f>HYPERLINK("http://www.ncbi.nlm.nih.gov/protein/NP_001230014.1","NP_001230014.1")</f>
        <v>NP_001230014.1</v>
      </c>
      <c r="C10">
        <v>74287</v>
      </c>
      <c r="D10" t="str">
        <f>HYPERLINK("http://www.ncbi.nlm.nih.gov/Taxonomy/Browser/wwwtax.cgi?mode=Info&amp;id=9685&amp;lvl=3&amp;lin=f&amp;keep=1&amp;srchmode=1&amp;unlock","9685")</f>
        <v>9685</v>
      </c>
      <c r="E10" t="s">
        <v>66</v>
      </c>
      <c r="F10" t="str">
        <f>HYPERLINK("http://www.ncbi.nlm.nih.gov/Taxonomy/Browser/wwwtax.cgi?mode=Info&amp;id=9685&amp;lvl=3&amp;lin=f&amp;keep=1&amp;srchmode=1&amp;unlock","Felis catus")</f>
        <v>Felis catus</v>
      </c>
      <c r="G10" t="s">
        <v>86</v>
      </c>
      <c r="H10" t="str">
        <f>HYPERLINK("http://www.ncbi.nlm.nih.gov/protein/NP_001230014.1","bone marrow stromal antigen 2")</f>
        <v>bone marrow stromal antigen 2</v>
      </c>
      <c r="I10" t="s">
        <v>248</v>
      </c>
      <c r="J10" t="s">
        <v>153</v>
      </c>
      <c r="K10">
        <v>54</v>
      </c>
      <c r="L10" t="s">
        <v>73</v>
      </c>
      <c r="M10" t="s">
        <v>69</v>
      </c>
      <c r="N10" t="s">
        <v>71</v>
      </c>
      <c r="O10" t="s">
        <v>69</v>
      </c>
      <c r="P10">
        <v>89.093999999999994</v>
      </c>
      <c r="Q10" t="s">
        <v>69</v>
      </c>
      <c r="R10" t="s">
        <v>69</v>
      </c>
      <c r="S10">
        <v>55</v>
      </c>
      <c r="T10" t="s">
        <v>153</v>
      </c>
      <c r="U10" t="s">
        <v>69</v>
      </c>
      <c r="V10" t="s">
        <v>148</v>
      </c>
      <c r="W10" t="s">
        <v>69</v>
      </c>
      <c r="X10">
        <v>132.119</v>
      </c>
      <c r="Y10" t="s">
        <v>69</v>
      </c>
      <c r="Z10" t="s">
        <v>69</v>
      </c>
      <c r="AA10">
        <v>56</v>
      </c>
      <c r="AB10" t="s">
        <v>155</v>
      </c>
      <c r="AC10" t="s">
        <v>69</v>
      </c>
      <c r="AD10" t="s">
        <v>150</v>
      </c>
      <c r="AE10" t="s">
        <v>69</v>
      </c>
      <c r="AF10">
        <v>105.093</v>
      </c>
      <c r="AG10" t="s">
        <v>69</v>
      </c>
      <c r="AH10" t="s">
        <v>69</v>
      </c>
      <c r="AI10">
        <v>57</v>
      </c>
      <c r="AJ10" t="s">
        <v>76</v>
      </c>
      <c r="AK10" t="s">
        <v>153</v>
      </c>
      <c r="AL10" t="s">
        <v>75</v>
      </c>
      <c r="AM10" t="s">
        <v>153</v>
      </c>
      <c r="AN10">
        <v>146.18899999999999</v>
      </c>
      <c r="AO10" t="s">
        <v>69</v>
      </c>
      <c r="AP10" t="s">
        <v>69</v>
      </c>
      <c r="AQ10">
        <v>58</v>
      </c>
      <c r="AR10" t="s">
        <v>73</v>
      </c>
      <c r="AS10" t="s">
        <v>69</v>
      </c>
      <c r="AT10" t="s">
        <v>71</v>
      </c>
      <c r="AU10" t="s">
        <v>69</v>
      </c>
      <c r="AV10">
        <v>89.093999999999994</v>
      </c>
      <c r="AW10" t="s">
        <v>69</v>
      </c>
      <c r="AX10" t="s">
        <v>69</v>
      </c>
      <c r="AY10">
        <v>59</v>
      </c>
      <c r="AZ10" t="s">
        <v>249</v>
      </c>
      <c r="BA10" t="s">
        <v>69</v>
      </c>
      <c r="BB10" t="s">
        <v>117</v>
      </c>
      <c r="BC10" t="s">
        <v>69</v>
      </c>
      <c r="BD10">
        <v>121.154</v>
      </c>
      <c r="BE10" t="s">
        <v>69</v>
      </c>
      <c r="BF10" t="s">
        <v>69</v>
      </c>
      <c r="BG10">
        <v>90</v>
      </c>
      <c r="BH10" t="s">
        <v>153</v>
      </c>
      <c r="BI10" t="s">
        <v>153</v>
      </c>
      <c r="BJ10" t="s">
        <v>148</v>
      </c>
      <c r="BK10" t="s">
        <v>153</v>
      </c>
      <c r="BL10">
        <v>132.119</v>
      </c>
      <c r="BM10" t="s">
        <v>69</v>
      </c>
      <c r="BN10" t="s">
        <v>69</v>
      </c>
      <c r="BO10">
        <v>91</v>
      </c>
      <c r="BP10" t="s">
        <v>119</v>
      </c>
      <c r="BQ10" t="s">
        <v>69</v>
      </c>
      <c r="BR10" t="s">
        <v>120</v>
      </c>
      <c r="BS10" t="s">
        <v>69</v>
      </c>
      <c r="BT10">
        <v>147.131</v>
      </c>
      <c r="BU10" t="s">
        <v>69</v>
      </c>
      <c r="BV10" t="s">
        <v>69</v>
      </c>
      <c r="BW10">
        <v>93</v>
      </c>
      <c r="BX10" t="s">
        <v>147</v>
      </c>
      <c r="BY10" t="s">
        <v>69</v>
      </c>
      <c r="BZ10" t="s">
        <v>148</v>
      </c>
      <c r="CA10" t="s">
        <v>69</v>
      </c>
      <c r="CB10">
        <v>146.14599999999999</v>
      </c>
      <c r="CC10" t="s">
        <v>69</v>
      </c>
      <c r="CD10" t="s">
        <v>69</v>
      </c>
      <c r="CE10">
        <v>94</v>
      </c>
      <c r="CF10" t="s">
        <v>73</v>
      </c>
      <c r="CG10" t="s">
        <v>69</v>
      </c>
      <c r="CH10" t="s">
        <v>71</v>
      </c>
      <c r="CI10" t="s">
        <v>69</v>
      </c>
      <c r="CJ10">
        <v>89.093999999999994</v>
      </c>
      <c r="CK10" t="s">
        <v>69</v>
      </c>
      <c r="CL10" t="s">
        <v>69</v>
      </c>
      <c r="CM10">
        <v>95</v>
      </c>
      <c r="CN10" t="s">
        <v>73</v>
      </c>
      <c r="CO10" t="s">
        <v>69</v>
      </c>
      <c r="CP10" t="s">
        <v>71</v>
      </c>
      <c r="CQ10" t="s">
        <v>69</v>
      </c>
      <c r="CR10">
        <v>89.093999999999994</v>
      </c>
      <c r="CS10" t="s">
        <v>69</v>
      </c>
      <c r="CT10" t="s">
        <v>69</v>
      </c>
      <c r="CU10">
        <v>97</v>
      </c>
      <c r="CV10" t="s">
        <v>249</v>
      </c>
      <c r="CW10" t="s">
        <v>69</v>
      </c>
      <c r="CX10" t="s">
        <v>117</v>
      </c>
      <c r="CY10" t="s">
        <v>69</v>
      </c>
      <c r="CZ10">
        <v>121.154</v>
      </c>
      <c r="DA10" t="s">
        <v>69</v>
      </c>
      <c r="DB10" t="s">
        <v>69</v>
      </c>
      <c r="DC10">
        <v>98</v>
      </c>
      <c r="DD10" t="s">
        <v>153</v>
      </c>
      <c r="DE10" t="s">
        <v>69</v>
      </c>
      <c r="DF10" t="s">
        <v>148</v>
      </c>
      <c r="DG10" t="s">
        <v>69</v>
      </c>
      <c r="DH10">
        <v>132.119</v>
      </c>
      <c r="DI10" t="s">
        <v>69</v>
      </c>
      <c r="DJ10" t="s">
        <v>69</v>
      </c>
      <c r="DK10">
        <v>111</v>
      </c>
      <c r="DL10" t="s">
        <v>119</v>
      </c>
      <c r="DM10" t="s">
        <v>69</v>
      </c>
      <c r="DN10" t="s">
        <v>120</v>
      </c>
      <c r="DO10" t="s">
        <v>69</v>
      </c>
      <c r="DP10">
        <v>147.131</v>
      </c>
      <c r="DQ10" t="s">
        <v>69</v>
      </c>
      <c r="DR10" t="s">
        <v>69</v>
      </c>
      <c r="DS10">
        <v>112</v>
      </c>
      <c r="DT10" t="s">
        <v>76</v>
      </c>
      <c r="DU10" t="s">
        <v>69</v>
      </c>
      <c r="DV10" t="s">
        <v>75</v>
      </c>
      <c r="DW10" t="s">
        <v>69</v>
      </c>
      <c r="DX10">
        <v>146.18899999999999</v>
      </c>
      <c r="DY10" t="s">
        <v>69</v>
      </c>
      <c r="DZ10" t="s">
        <v>69</v>
      </c>
      <c r="EA10">
        <v>117</v>
      </c>
      <c r="EB10" t="s">
        <v>119</v>
      </c>
      <c r="EC10" t="s">
        <v>153</v>
      </c>
      <c r="ED10" t="s">
        <v>120</v>
      </c>
      <c r="EE10" t="s">
        <v>153</v>
      </c>
      <c r="EF10">
        <v>147.131</v>
      </c>
      <c r="EG10" t="s">
        <v>69</v>
      </c>
      <c r="EH10" t="s">
        <v>69</v>
      </c>
      <c r="EI10">
        <v>118</v>
      </c>
      <c r="EJ10" t="s">
        <v>250</v>
      </c>
      <c r="EK10" t="s">
        <v>153</v>
      </c>
      <c r="EL10" t="s">
        <v>152</v>
      </c>
      <c r="EM10" t="s">
        <v>153</v>
      </c>
      <c r="EN10">
        <v>204.22800000000001</v>
      </c>
      <c r="EO10" t="s">
        <v>153</v>
      </c>
      <c r="EP10" t="s">
        <v>153</v>
      </c>
      <c r="EQ10">
        <v>119</v>
      </c>
      <c r="ER10" t="s">
        <v>72</v>
      </c>
      <c r="ES10" t="s">
        <v>153</v>
      </c>
      <c r="ET10" t="s">
        <v>71</v>
      </c>
      <c r="EU10" t="s">
        <v>153</v>
      </c>
      <c r="EV10">
        <v>131.17500000000001</v>
      </c>
      <c r="EW10" t="s">
        <v>69</v>
      </c>
      <c r="EX10" t="s">
        <v>69</v>
      </c>
      <c r="EY10">
        <v>121</v>
      </c>
      <c r="EZ10" t="s">
        <v>76</v>
      </c>
      <c r="FA10" t="s">
        <v>69</v>
      </c>
      <c r="FB10" t="s">
        <v>75</v>
      </c>
      <c r="FC10" t="s">
        <v>69</v>
      </c>
      <c r="FD10">
        <v>146.18899999999999</v>
      </c>
      <c r="FE10" t="s">
        <v>69</v>
      </c>
      <c r="FF10" t="s">
        <v>69</v>
      </c>
      <c r="FG10">
        <v>122</v>
      </c>
      <c r="FH10" t="s">
        <v>70</v>
      </c>
      <c r="FI10" t="s">
        <v>153</v>
      </c>
      <c r="FJ10" t="s">
        <v>71</v>
      </c>
      <c r="FK10" t="s">
        <v>69</v>
      </c>
      <c r="FL10">
        <v>75.066999999999993</v>
      </c>
      <c r="FM10" t="s">
        <v>153</v>
      </c>
      <c r="FN10" t="s">
        <v>69</v>
      </c>
      <c r="FO10">
        <v>126</v>
      </c>
      <c r="FP10" t="s">
        <v>74</v>
      </c>
      <c r="FQ10" t="s">
        <v>153</v>
      </c>
      <c r="FR10" t="s">
        <v>75</v>
      </c>
      <c r="FS10" t="s">
        <v>153</v>
      </c>
      <c r="FT10">
        <v>174.203</v>
      </c>
      <c r="FU10" t="s">
        <v>69</v>
      </c>
      <c r="FV10" t="s">
        <v>69</v>
      </c>
    </row>
    <row r="11" spans="1:178" x14ac:dyDescent="0.25">
      <c r="A11">
        <v>7</v>
      </c>
      <c r="B11" t="str">
        <f>HYPERLINK("http://www.ncbi.nlm.nih.gov/protein/XP_046951736.1","XP_046951736.1")</f>
        <v>XP_046951736.1</v>
      </c>
      <c r="C11">
        <v>38764</v>
      </c>
      <c r="D11" t="str">
        <f>HYPERLINK("http://www.ncbi.nlm.nih.gov/Taxonomy/Browser/wwwtax.cgi?mode=Info&amp;id=61384&amp;lvl=3&amp;lin=f&amp;keep=1&amp;srchmode=1&amp;unlock","61384")</f>
        <v>61384</v>
      </c>
      <c r="E11" t="s">
        <v>66</v>
      </c>
      <c r="F11" t="str">
        <f>HYPERLINK("http://www.ncbi.nlm.nih.gov/Taxonomy/Browser/wwwtax.cgi?mode=Info&amp;id=61384&amp;lvl=3&amp;lin=f&amp;keep=1&amp;srchmode=1&amp;unlock","Lynx rufus")</f>
        <v>Lynx rufus</v>
      </c>
      <c r="G11" t="s">
        <v>93</v>
      </c>
      <c r="H11" t="str">
        <f>HYPERLINK("http://www.ncbi.nlm.nih.gov/protein/XP_046951736.1","bone marrow stromal antigen 2-like")</f>
        <v>bone marrow stromal antigen 2-like</v>
      </c>
      <c r="I11" t="s">
        <v>248</v>
      </c>
      <c r="J11" t="s">
        <v>153</v>
      </c>
      <c r="K11">
        <v>35</v>
      </c>
      <c r="L11" t="s">
        <v>73</v>
      </c>
      <c r="M11" t="s">
        <v>69</v>
      </c>
      <c r="N11" t="s">
        <v>71</v>
      </c>
      <c r="O11" t="s">
        <v>69</v>
      </c>
      <c r="P11">
        <v>89.093999999999994</v>
      </c>
      <c r="Q11" t="s">
        <v>69</v>
      </c>
      <c r="R11" t="s">
        <v>69</v>
      </c>
      <c r="S11">
        <v>36</v>
      </c>
      <c r="T11" t="s">
        <v>153</v>
      </c>
      <c r="U11" t="s">
        <v>69</v>
      </c>
      <c r="V11" t="s">
        <v>148</v>
      </c>
      <c r="W11" t="s">
        <v>69</v>
      </c>
      <c r="X11">
        <v>132.119</v>
      </c>
      <c r="Y11" t="s">
        <v>69</v>
      </c>
      <c r="Z11" t="s">
        <v>69</v>
      </c>
      <c r="AA11">
        <v>37</v>
      </c>
      <c r="AB11" t="s">
        <v>155</v>
      </c>
      <c r="AC11" t="s">
        <v>69</v>
      </c>
      <c r="AD11" t="s">
        <v>150</v>
      </c>
      <c r="AE11" t="s">
        <v>69</v>
      </c>
      <c r="AF11">
        <v>105.093</v>
      </c>
      <c r="AG11" t="s">
        <v>69</v>
      </c>
      <c r="AH11" t="s">
        <v>69</v>
      </c>
      <c r="AI11">
        <v>38</v>
      </c>
      <c r="AJ11" t="s">
        <v>76</v>
      </c>
      <c r="AK11" t="s">
        <v>153</v>
      </c>
      <c r="AL11" t="s">
        <v>75</v>
      </c>
      <c r="AM11" t="s">
        <v>153</v>
      </c>
      <c r="AN11">
        <v>146.18899999999999</v>
      </c>
      <c r="AO11" t="s">
        <v>69</v>
      </c>
      <c r="AP11" t="s">
        <v>69</v>
      </c>
      <c r="AQ11">
        <v>39</v>
      </c>
      <c r="AR11" t="s">
        <v>73</v>
      </c>
      <c r="AS11" t="s">
        <v>69</v>
      </c>
      <c r="AT11" t="s">
        <v>71</v>
      </c>
      <c r="AU11" t="s">
        <v>69</v>
      </c>
      <c r="AV11">
        <v>89.093999999999994</v>
      </c>
      <c r="AW11" t="s">
        <v>69</v>
      </c>
      <c r="AX11" t="s">
        <v>69</v>
      </c>
      <c r="AY11">
        <v>40</v>
      </c>
      <c r="AZ11" t="s">
        <v>249</v>
      </c>
      <c r="BA11" t="s">
        <v>69</v>
      </c>
      <c r="BB11" t="s">
        <v>117</v>
      </c>
      <c r="BC11" t="s">
        <v>69</v>
      </c>
      <c r="BD11">
        <v>121.154</v>
      </c>
      <c r="BE11" t="s">
        <v>69</v>
      </c>
      <c r="BF11" t="s">
        <v>69</v>
      </c>
      <c r="BG11">
        <v>71</v>
      </c>
      <c r="BH11" t="s">
        <v>153</v>
      </c>
      <c r="BI11" t="s">
        <v>153</v>
      </c>
      <c r="BJ11" t="s">
        <v>148</v>
      </c>
      <c r="BK11" t="s">
        <v>153</v>
      </c>
      <c r="BL11">
        <v>132.119</v>
      </c>
      <c r="BM11" t="s">
        <v>69</v>
      </c>
      <c r="BN11" t="s">
        <v>69</v>
      </c>
      <c r="BO11">
        <v>72</v>
      </c>
      <c r="BP11" t="s">
        <v>119</v>
      </c>
      <c r="BQ11" t="s">
        <v>69</v>
      </c>
      <c r="BR11" t="s">
        <v>120</v>
      </c>
      <c r="BS11" t="s">
        <v>69</v>
      </c>
      <c r="BT11">
        <v>147.131</v>
      </c>
      <c r="BU11" t="s">
        <v>69</v>
      </c>
      <c r="BV11" t="s">
        <v>69</v>
      </c>
      <c r="BW11">
        <v>74</v>
      </c>
      <c r="BX11" t="s">
        <v>147</v>
      </c>
      <c r="BY11" t="s">
        <v>69</v>
      </c>
      <c r="BZ11" t="s">
        <v>148</v>
      </c>
      <c r="CA11" t="s">
        <v>69</v>
      </c>
      <c r="CB11">
        <v>146.14599999999999</v>
      </c>
      <c r="CC11" t="s">
        <v>69</v>
      </c>
      <c r="CD11" t="s">
        <v>69</v>
      </c>
      <c r="CE11">
        <v>75</v>
      </c>
      <c r="CF11" t="s">
        <v>73</v>
      </c>
      <c r="CG11" t="s">
        <v>69</v>
      </c>
      <c r="CH11" t="s">
        <v>71</v>
      </c>
      <c r="CI11" t="s">
        <v>69</v>
      </c>
      <c r="CJ11">
        <v>89.093999999999994</v>
      </c>
      <c r="CK11" t="s">
        <v>69</v>
      </c>
      <c r="CL11" t="s">
        <v>69</v>
      </c>
      <c r="CM11">
        <v>76</v>
      </c>
      <c r="CN11" t="s">
        <v>73</v>
      </c>
      <c r="CO11" t="s">
        <v>69</v>
      </c>
      <c r="CP11" t="s">
        <v>71</v>
      </c>
      <c r="CQ11" t="s">
        <v>69</v>
      </c>
      <c r="CR11">
        <v>89.093999999999994</v>
      </c>
      <c r="CS11" t="s">
        <v>69</v>
      </c>
      <c r="CT11" t="s">
        <v>69</v>
      </c>
      <c r="CU11">
        <v>78</v>
      </c>
      <c r="CV11" t="s">
        <v>249</v>
      </c>
      <c r="CW11" t="s">
        <v>69</v>
      </c>
      <c r="CX11" t="s">
        <v>117</v>
      </c>
      <c r="CY11" t="s">
        <v>69</v>
      </c>
      <c r="CZ11">
        <v>121.154</v>
      </c>
      <c r="DA11" t="s">
        <v>69</v>
      </c>
      <c r="DB11" t="s">
        <v>69</v>
      </c>
      <c r="DC11">
        <v>79</v>
      </c>
      <c r="DD11" t="s">
        <v>153</v>
      </c>
      <c r="DE11" t="s">
        <v>69</v>
      </c>
      <c r="DF11" t="s">
        <v>148</v>
      </c>
      <c r="DG11" t="s">
        <v>69</v>
      </c>
      <c r="DH11">
        <v>132.119</v>
      </c>
      <c r="DI11" t="s">
        <v>69</v>
      </c>
      <c r="DJ11" t="s">
        <v>69</v>
      </c>
      <c r="DK11">
        <v>92</v>
      </c>
      <c r="DL11" t="s">
        <v>119</v>
      </c>
      <c r="DM11" t="s">
        <v>69</v>
      </c>
      <c r="DN11" t="s">
        <v>120</v>
      </c>
      <c r="DO11" t="s">
        <v>69</v>
      </c>
      <c r="DP11">
        <v>147.131</v>
      </c>
      <c r="DQ11" t="s">
        <v>69</v>
      </c>
      <c r="DR11" t="s">
        <v>69</v>
      </c>
      <c r="DS11">
        <v>93</v>
      </c>
      <c r="DT11" t="s">
        <v>76</v>
      </c>
      <c r="DU11" t="s">
        <v>69</v>
      </c>
      <c r="DV11" t="s">
        <v>75</v>
      </c>
      <c r="DW11" t="s">
        <v>69</v>
      </c>
      <c r="DX11">
        <v>146.18899999999999</v>
      </c>
      <c r="DY11" t="s">
        <v>69</v>
      </c>
      <c r="DZ11" t="s">
        <v>69</v>
      </c>
      <c r="EA11">
        <v>98</v>
      </c>
      <c r="EB11" t="s">
        <v>119</v>
      </c>
      <c r="EC11" t="s">
        <v>153</v>
      </c>
      <c r="ED11" t="s">
        <v>120</v>
      </c>
      <c r="EE11" t="s">
        <v>153</v>
      </c>
      <c r="EF11">
        <v>147.131</v>
      </c>
      <c r="EG11" t="s">
        <v>69</v>
      </c>
      <c r="EH11" t="s">
        <v>69</v>
      </c>
      <c r="EI11">
        <v>99</v>
      </c>
      <c r="EJ11" t="s">
        <v>250</v>
      </c>
      <c r="EK11" t="s">
        <v>153</v>
      </c>
      <c r="EL11" t="s">
        <v>152</v>
      </c>
      <c r="EM11" t="s">
        <v>153</v>
      </c>
      <c r="EN11">
        <v>204.22800000000001</v>
      </c>
      <c r="EO11" t="s">
        <v>153</v>
      </c>
      <c r="EP11" t="s">
        <v>153</v>
      </c>
      <c r="EQ11">
        <v>100</v>
      </c>
      <c r="ER11" t="s">
        <v>72</v>
      </c>
      <c r="ES11" t="s">
        <v>153</v>
      </c>
      <c r="ET11" t="s">
        <v>71</v>
      </c>
      <c r="EU11" t="s">
        <v>153</v>
      </c>
      <c r="EV11">
        <v>131.17500000000001</v>
      </c>
      <c r="EW11" t="s">
        <v>69</v>
      </c>
      <c r="EX11" t="s">
        <v>69</v>
      </c>
      <c r="EY11">
        <v>102</v>
      </c>
      <c r="EZ11" t="s">
        <v>76</v>
      </c>
      <c r="FA11" t="s">
        <v>69</v>
      </c>
      <c r="FB11" t="s">
        <v>75</v>
      </c>
      <c r="FC11" t="s">
        <v>69</v>
      </c>
      <c r="FD11">
        <v>146.18899999999999</v>
      </c>
      <c r="FE11" t="s">
        <v>69</v>
      </c>
      <c r="FF11" t="s">
        <v>69</v>
      </c>
      <c r="FG11">
        <v>103</v>
      </c>
      <c r="FH11" t="s">
        <v>70</v>
      </c>
      <c r="FI11" t="s">
        <v>153</v>
      </c>
      <c r="FJ11" t="s">
        <v>71</v>
      </c>
      <c r="FK11" t="s">
        <v>69</v>
      </c>
      <c r="FL11">
        <v>75.066999999999993</v>
      </c>
      <c r="FM11" t="s">
        <v>153</v>
      </c>
      <c r="FN11" t="s">
        <v>69</v>
      </c>
      <c r="FO11">
        <v>107</v>
      </c>
      <c r="FP11" t="s">
        <v>74</v>
      </c>
      <c r="FQ11" t="s">
        <v>153</v>
      </c>
      <c r="FR11" t="s">
        <v>75</v>
      </c>
      <c r="FS11" t="s">
        <v>153</v>
      </c>
      <c r="FT11">
        <v>174.203</v>
      </c>
      <c r="FU11" t="s">
        <v>69</v>
      </c>
      <c r="FV11" t="s">
        <v>69</v>
      </c>
    </row>
    <row r="12" spans="1:178" x14ac:dyDescent="0.25">
      <c r="A12">
        <v>7</v>
      </c>
      <c r="B12" t="str">
        <f>HYPERLINK("http://www.ncbi.nlm.nih.gov/protein/XP_030159828.1","XP_030159828.1")</f>
        <v>XP_030159828.1</v>
      </c>
      <c r="C12">
        <v>42175</v>
      </c>
      <c r="D12" t="str">
        <f>HYPERLINK("http://www.ncbi.nlm.nih.gov/Taxonomy/Browser/wwwtax.cgi?mode=Info&amp;id=61383&amp;lvl=3&amp;lin=f&amp;keep=1&amp;srchmode=1&amp;unlock","61383")</f>
        <v>61383</v>
      </c>
      <c r="E12" t="s">
        <v>66</v>
      </c>
      <c r="F12" t="str">
        <f>HYPERLINK("http://www.ncbi.nlm.nih.gov/Taxonomy/Browser/wwwtax.cgi?mode=Info&amp;id=61383&amp;lvl=3&amp;lin=f&amp;keep=1&amp;srchmode=1&amp;unlock","Lynx canadensis")</f>
        <v>Lynx canadensis</v>
      </c>
      <c r="G12" t="s">
        <v>105</v>
      </c>
      <c r="H12" t="str">
        <f>HYPERLINK("http://www.ncbi.nlm.nih.gov/protein/XP_030159828.1","bone marrow stromal antigen 2")</f>
        <v>bone marrow stromal antigen 2</v>
      </c>
      <c r="I12" t="s">
        <v>248</v>
      </c>
      <c r="J12" t="s">
        <v>153</v>
      </c>
      <c r="K12">
        <v>35</v>
      </c>
      <c r="L12" t="s">
        <v>73</v>
      </c>
      <c r="M12" t="s">
        <v>69</v>
      </c>
      <c r="N12" t="s">
        <v>71</v>
      </c>
      <c r="O12" t="s">
        <v>69</v>
      </c>
      <c r="P12">
        <v>89.093999999999994</v>
      </c>
      <c r="Q12" t="s">
        <v>69</v>
      </c>
      <c r="R12" t="s">
        <v>69</v>
      </c>
      <c r="S12">
        <v>36</v>
      </c>
      <c r="T12" t="s">
        <v>153</v>
      </c>
      <c r="U12" t="s">
        <v>69</v>
      </c>
      <c r="V12" t="s">
        <v>148</v>
      </c>
      <c r="W12" t="s">
        <v>69</v>
      </c>
      <c r="X12">
        <v>132.119</v>
      </c>
      <c r="Y12" t="s">
        <v>69</v>
      </c>
      <c r="Z12" t="s">
        <v>69</v>
      </c>
      <c r="AA12">
        <v>37</v>
      </c>
      <c r="AB12" t="s">
        <v>155</v>
      </c>
      <c r="AC12" t="s">
        <v>69</v>
      </c>
      <c r="AD12" t="s">
        <v>150</v>
      </c>
      <c r="AE12" t="s">
        <v>69</v>
      </c>
      <c r="AF12">
        <v>105.093</v>
      </c>
      <c r="AG12" t="s">
        <v>69</v>
      </c>
      <c r="AH12" t="s">
        <v>69</v>
      </c>
      <c r="AI12">
        <v>38</v>
      </c>
      <c r="AJ12" t="s">
        <v>76</v>
      </c>
      <c r="AK12" t="s">
        <v>153</v>
      </c>
      <c r="AL12" t="s">
        <v>75</v>
      </c>
      <c r="AM12" t="s">
        <v>153</v>
      </c>
      <c r="AN12">
        <v>146.18899999999999</v>
      </c>
      <c r="AO12" t="s">
        <v>69</v>
      </c>
      <c r="AP12" t="s">
        <v>69</v>
      </c>
      <c r="AQ12">
        <v>39</v>
      </c>
      <c r="AR12" t="s">
        <v>73</v>
      </c>
      <c r="AS12" t="s">
        <v>69</v>
      </c>
      <c r="AT12" t="s">
        <v>71</v>
      </c>
      <c r="AU12" t="s">
        <v>69</v>
      </c>
      <c r="AV12">
        <v>89.093999999999994</v>
      </c>
      <c r="AW12" t="s">
        <v>69</v>
      </c>
      <c r="AX12" t="s">
        <v>69</v>
      </c>
      <c r="AY12">
        <v>40</v>
      </c>
      <c r="AZ12" t="s">
        <v>249</v>
      </c>
      <c r="BA12" t="s">
        <v>69</v>
      </c>
      <c r="BB12" t="s">
        <v>117</v>
      </c>
      <c r="BC12" t="s">
        <v>69</v>
      </c>
      <c r="BD12">
        <v>121.154</v>
      </c>
      <c r="BE12" t="s">
        <v>69</v>
      </c>
      <c r="BF12" t="s">
        <v>69</v>
      </c>
      <c r="BG12">
        <v>71</v>
      </c>
      <c r="BH12" t="s">
        <v>153</v>
      </c>
      <c r="BI12" t="s">
        <v>153</v>
      </c>
      <c r="BJ12" t="s">
        <v>148</v>
      </c>
      <c r="BK12" t="s">
        <v>153</v>
      </c>
      <c r="BL12">
        <v>132.119</v>
      </c>
      <c r="BM12" t="s">
        <v>69</v>
      </c>
      <c r="BN12" t="s">
        <v>69</v>
      </c>
      <c r="BO12">
        <v>72</v>
      </c>
      <c r="BP12" t="s">
        <v>119</v>
      </c>
      <c r="BQ12" t="s">
        <v>69</v>
      </c>
      <c r="BR12" t="s">
        <v>120</v>
      </c>
      <c r="BS12" t="s">
        <v>69</v>
      </c>
      <c r="BT12">
        <v>147.131</v>
      </c>
      <c r="BU12" t="s">
        <v>69</v>
      </c>
      <c r="BV12" t="s">
        <v>69</v>
      </c>
      <c r="BW12">
        <v>74</v>
      </c>
      <c r="BX12" t="s">
        <v>147</v>
      </c>
      <c r="BY12" t="s">
        <v>69</v>
      </c>
      <c r="BZ12" t="s">
        <v>148</v>
      </c>
      <c r="CA12" t="s">
        <v>69</v>
      </c>
      <c r="CB12">
        <v>146.14599999999999</v>
      </c>
      <c r="CC12" t="s">
        <v>69</v>
      </c>
      <c r="CD12" t="s">
        <v>69</v>
      </c>
      <c r="CE12">
        <v>75</v>
      </c>
      <c r="CF12" t="s">
        <v>73</v>
      </c>
      <c r="CG12" t="s">
        <v>69</v>
      </c>
      <c r="CH12" t="s">
        <v>71</v>
      </c>
      <c r="CI12" t="s">
        <v>69</v>
      </c>
      <c r="CJ12">
        <v>89.093999999999994</v>
      </c>
      <c r="CK12" t="s">
        <v>69</v>
      </c>
      <c r="CL12" t="s">
        <v>69</v>
      </c>
      <c r="CM12">
        <v>76</v>
      </c>
      <c r="CN12" t="s">
        <v>73</v>
      </c>
      <c r="CO12" t="s">
        <v>69</v>
      </c>
      <c r="CP12" t="s">
        <v>71</v>
      </c>
      <c r="CQ12" t="s">
        <v>69</v>
      </c>
      <c r="CR12">
        <v>89.093999999999994</v>
      </c>
      <c r="CS12" t="s">
        <v>69</v>
      </c>
      <c r="CT12" t="s">
        <v>69</v>
      </c>
      <c r="CU12">
        <v>78</v>
      </c>
      <c r="CV12" t="s">
        <v>249</v>
      </c>
      <c r="CW12" t="s">
        <v>69</v>
      </c>
      <c r="CX12" t="s">
        <v>117</v>
      </c>
      <c r="CY12" t="s">
        <v>69</v>
      </c>
      <c r="CZ12">
        <v>121.154</v>
      </c>
      <c r="DA12" t="s">
        <v>69</v>
      </c>
      <c r="DB12" t="s">
        <v>69</v>
      </c>
      <c r="DC12">
        <v>79</v>
      </c>
      <c r="DD12" t="s">
        <v>153</v>
      </c>
      <c r="DE12" t="s">
        <v>69</v>
      </c>
      <c r="DF12" t="s">
        <v>148</v>
      </c>
      <c r="DG12" t="s">
        <v>69</v>
      </c>
      <c r="DH12">
        <v>132.119</v>
      </c>
      <c r="DI12" t="s">
        <v>69</v>
      </c>
      <c r="DJ12" t="s">
        <v>69</v>
      </c>
      <c r="DK12">
        <v>92</v>
      </c>
      <c r="DL12" t="s">
        <v>119</v>
      </c>
      <c r="DM12" t="s">
        <v>69</v>
      </c>
      <c r="DN12" t="s">
        <v>120</v>
      </c>
      <c r="DO12" t="s">
        <v>69</v>
      </c>
      <c r="DP12">
        <v>147.131</v>
      </c>
      <c r="DQ12" t="s">
        <v>69</v>
      </c>
      <c r="DR12" t="s">
        <v>69</v>
      </c>
      <c r="DS12">
        <v>93</v>
      </c>
      <c r="DT12" t="s">
        <v>76</v>
      </c>
      <c r="DU12" t="s">
        <v>69</v>
      </c>
      <c r="DV12" t="s">
        <v>75</v>
      </c>
      <c r="DW12" t="s">
        <v>69</v>
      </c>
      <c r="DX12">
        <v>146.18899999999999</v>
      </c>
      <c r="DY12" t="s">
        <v>69</v>
      </c>
      <c r="DZ12" t="s">
        <v>69</v>
      </c>
      <c r="EA12">
        <v>98</v>
      </c>
      <c r="EB12" t="s">
        <v>119</v>
      </c>
      <c r="EC12" t="s">
        <v>153</v>
      </c>
      <c r="ED12" t="s">
        <v>120</v>
      </c>
      <c r="EE12" t="s">
        <v>153</v>
      </c>
      <c r="EF12">
        <v>147.131</v>
      </c>
      <c r="EG12" t="s">
        <v>69</v>
      </c>
      <c r="EH12" t="s">
        <v>69</v>
      </c>
      <c r="EI12">
        <v>99</v>
      </c>
      <c r="EJ12" t="s">
        <v>250</v>
      </c>
      <c r="EK12" t="s">
        <v>153</v>
      </c>
      <c r="EL12" t="s">
        <v>152</v>
      </c>
      <c r="EM12" t="s">
        <v>153</v>
      </c>
      <c r="EN12">
        <v>204.22800000000001</v>
      </c>
      <c r="EO12" t="s">
        <v>153</v>
      </c>
      <c r="EP12" t="s">
        <v>153</v>
      </c>
      <c r="EQ12">
        <v>100</v>
      </c>
      <c r="ER12" t="s">
        <v>72</v>
      </c>
      <c r="ES12" t="s">
        <v>153</v>
      </c>
      <c r="ET12" t="s">
        <v>71</v>
      </c>
      <c r="EU12" t="s">
        <v>153</v>
      </c>
      <c r="EV12">
        <v>131.17500000000001</v>
      </c>
      <c r="EW12" t="s">
        <v>69</v>
      </c>
      <c r="EX12" t="s">
        <v>69</v>
      </c>
      <c r="EY12">
        <v>102</v>
      </c>
      <c r="EZ12" t="s">
        <v>76</v>
      </c>
      <c r="FA12" t="s">
        <v>69</v>
      </c>
      <c r="FB12" t="s">
        <v>75</v>
      </c>
      <c r="FC12" t="s">
        <v>69</v>
      </c>
      <c r="FD12">
        <v>146.18899999999999</v>
      </c>
      <c r="FE12" t="s">
        <v>69</v>
      </c>
      <c r="FF12" t="s">
        <v>69</v>
      </c>
      <c r="FG12">
        <v>103</v>
      </c>
      <c r="FH12" t="s">
        <v>70</v>
      </c>
      <c r="FI12" t="s">
        <v>153</v>
      </c>
      <c r="FJ12" t="s">
        <v>71</v>
      </c>
      <c r="FK12" t="s">
        <v>69</v>
      </c>
      <c r="FL12">
        <v>75.066999999999993</v>
      </c>
      <c r="FM12" t="s">
        <v>153</v>
      </c>
      <c r="FN12" t="s">
        <v>69</v>
      </c>
      <c r="FO12">
        <v>107</v>
      </c>
      <c r="FP12" t="s">
        <v>74</v>
      </c>
      <c r="FQ12" t="s">
        <v>153</v>
      </c>
      <c r="FR12" t="s">
        <v>75</v>
      </c>
      <c r="FS12" t="s">
        <v>153</v>
      </c>
      <c r="FT12">
        <v>174.203</v>
      </c>
      <c r="FU12" t="s">
        <v>69</v>
      </c>
      <c r="FV12" t="s">
        <v>69</v>
      </c>
    </row>
    <row r="13" spans="1:178" x14ac:dyDescent="0.25">
      <c r="A13">
        <v>7</v>
      </c>
      <c r="B13" t="str">
        <f>HYPERLINK("http://www.ncbi.nlm.nih.gov/protein/XP_015395909.2","XP_015395909.2")</f>
        <v>XP_015395909.2</v>
      </c>
      <c r="C13">
        <v>56089</v>
      </c>
      <c r="D13" t="str">
        <f>HYPERLINK("http://www.ncbi.nlm.nih.gov/Taxonomy/Browser/wwwtax.cgi?mode=Info&amp;id=9694&amp;lvl=3&amp;lin=f&amp;keep=1&amp;srchmode=1&amp;unlock","9694")</f>
        <v>9694</v>
      </c>
      <c r="E13" t="s">
        <v>66</v>
      </c>
      <c r="F13" t="str">
        <f>HYPERLINK("http://www.ncbi.nlm.nih.gov/Taxonomy/Browser/wwwtax.cgi?mode=Info&amp;id=9694&amp;lvl=3&amp;lin=f&amp;keep=1&amp;srchmode=1&amp;unlock","Panthera tigris")</f>
        <v>Panthera tigris</v>
      </c>
      <c r="G13" t="s">
        <v>89</v>
      </c>
      <c r="H13" t="str">
        <f>HYPERLINK("http://www.ncbi.nlm.nih.gov/protein/XP_015395909.2","bone marrow stromal antigen 2")</f>
        <v>bone marrow stromal antigen 2</v>
      </c>
      <c r="I13" t="s">
        <v>248</v>
      </c>
      <c r="J13" t="s">
        <v>153</v>
      </c>
      <c r="K13">
        <v>35</v>
      </c>
      <c r="L13" t="s">
        <v>73</v>
      </c>
      <c r="M13" t="s">
        <v>69</v>
      </c>
      <c r="N13" t="s">
        <v>71</v>
      </c>
      <c r="O13" t="s">
        <v>69</v>
      </c>
      <c r="P13">
        <v>89.093999999999994</v>
      </c>
      <c r="Q13" t="s">
        <v>69</v>
      </c>
      <c r="R13" t="s">
        <v>69</v>
      </c>
      <c r="S13">
        <v>36</v>
      </c>
      <c r="T13" t="s">
        <v>153</v>
      </c>
      <c r="U13" t="s">
        <v>69</v>
      </c>
      <c r="V13" t="s">
        <v>148</v>
      </c>
      <c r="W13" t="s">
        <v>69</v>
      </c>
      <c r="X13">
        <v>132.119</v>
      </c>
      <c r="Y13" t="s">
        <v>69</v>
      </c>
      <c r="Z13" t="s">
        <v>69</v>
      </c>
      <c r="AA13">
        <v>37</v>
      </c>
      <c r="AB13" t="s">
        <v>155</v>
      </c>
      <c r="AC13" t="s">
        <v>69</v>
      </c>
      <c r="AD13" t="s">
        <v>150</v>
      </c>
      <c r="AE13" t="s">
        <v>69</v>
      </c>
      <c r="AF13">
        <v>105.093</v>
      </c>
      <c r="AG13" t="s">
        <v>69</v>
      </c>
      <c r="AH13" t="s">
        <v>69</v>
      </c>
      <c r="AI13">
        <v>38</v>
      </c>
      <c r="AJ13" t="s">
        <v>76</v>
      </c>
      <c r="AK13" t="s">
        <v>153</v>
      </c>
      <c r="AL13" t="s">
        <v>75</v>
      </c>
      <c r="AM13" t="s">
        <v>153</v>
      </c>
      <c r="AN13">
        <v>146.18899999999999</v>
      </c>
      <c r="AO13" t="s">
        <v>69</v>
      </c>
      <c r="AP13" t="s">
        <v>69</v>
      </c>
      <c r="AQ13">
        <v>39</v>
      </c>
      <c r="AR13" t="s">
        <v>73</v>
      </c>
      <c r="AS13" t="s">
        <v>69</v>
      </c>
      <c r="AT13" t="s">
        <v>71</v>
      </c>
      <c r="AU13" t="s">
        <v>69</v>
      </c>
      <c r="AV13">
        <v>89.093999999999994</v>
      </c>
      <c r="AW13" t="s">
        <v>69</v>
      </c>
      <c r="AX13" t="s">
        <v>69</v>
      </c>
      <c r="AY13">
        <v>40</v>
      </c>
      <c r="AZ13" t="s">
        <v>249</v>
      </c>
      <c r="BA13" t="s">
        <v>69</v>
      </c>
      <c r="BB13" t="s">
        <v>117</v>
      </c>
      <c r="BC13" t="s">
        <v>69</v>
      </c>
      <c r="BD13">
        <v>121.154</v>
      </c>
      <c r="BE13" t="s">
        <v>69</v>
      </c>
      <c r="BF13" t="s">
        <v>69</v>
      </c>
      <c r="BG13">
        <v>71</v>
      </c>
      <c r="BH13" t="s">
        <v>149</v>
      </c>
      <c r="BI13" t="s">
        <v>153</v>
      </c>
      <c r="BJ13" t="s">
        <v>150</v>
      </c>
      <c r="BK13" t="s">
        <v>153</v>
      </c>
      <c r="BL13">
        <v>119.119</v>
      </c>
      <c r="BM13" t="s">
        <v>69</v>
      </c>
      <c r="BN13" t="s">
        <v>69</v>
      </c>
      <c r="BO13">
        <v>72</v>
      </c>
      <c r="BP13" t="s">
        <v>119</v>
      </c>
      <c r="BQ13" t="s">
        <v>69</v>
      </c>
      <c r="BR13" t="s">
        <v>120</v>
      </c>
      <c r="BS13" t="s">
        <v>69</v>
      </c>
      <c r="BT13">
        <v>147.131</v>
      </c>
      <c r="BU13" t="s">
        <v>69</v>
      </c>
      <c r="BV13" t="s">
        <v>69</v>
      </c>
      <c r="BW13">
        <v>74</v>
      </c>
      <c r="BX13" t="s">
        <v>147</v>
      </c>
      <c r="BY13" t="s">
        <v>69</v>
      </c>
      <c r="BZ13" t="s">
        <v>148</v>
      </c>
      <c r="CA13" t="s">
        <v>69</v>
      </c>
      <c r="CB13">
        <v>146.14599999999999</v>
      </c>
      <c r="CC13" t="s">
        <v>69</v>
      </c>
      <c r="CD13" t="s">
        <v>69</v>
      </c>
      <c r="CE13">
        <v>75</v>
      </c>
      <c r="CF13" t="s">
        <v>73</v>
      </c>
      <c r="CG13" t="s">
        <v>69</v>
      </c>
      <c r="CH13" t="s">
        <v>71</v>
      </c>
      <c r="CI13" t="s">
        <v>69</v>
      </c>
      <c r="CJ13">
        <v>89.093999999999994</v>
      </c>
      <c r="CK13" t="s">
        <v>69</v>
      </c>
      <c r="CL13" t="s">
        <v>69</v>
      </c>
      <c r="CM13">
        <v>76</v>
      </c>
      <c r="CN13" t="s">
        <v>73</v>
      </c>
      <c r="CO13" t="s">
        <v>69</v>
      </c>
      <c r="CP13" t="s">
        <v>71</v>
      </c>
      <c r="CQ13" t="s">
        <v>69</v>
      </c>
      <c r="CR13">
        <v>89.093999999999994</v>
      </c>
      <c r="CS13" t="s">
        <v>69</v>
      </c>
      <c r="CT13" t="s">
        <v>69</v>
      </c>
      <c r="CU13">
        <v>78</v>
      </c>
      <c r="CV13" t="s">
        <v>249</v>
      </c>
      <c r="CW13" t="s">
        <v>69</v>
      </c>
      <c r="CX13" t="s">
        <v>117</v>
      </c>
      <c r="CY13" t="s">
        <v>69</v>
      </c>
      <c r="CZ13">
        <v>121.154</v>
      </c>
      <c r="DA13" t="s">
        <v>69</v>
      </c>
      <c r="DB13" t="s">
        <v>69</v>
      </c>
      <c r="DC13">
        <v>79</v>
      </c>
      <c r="DD13" t="s">
        <v>153</v>
      </c>
      <c r="DE13" t="s">
        <v>69</v>
      </c>
      <c r="DF13" t="s">
        <v>148</v>
      </c>
      <c r="DG13" t="s">
        <v>69</v>
      </c>
      <c r="DH13">
        <v>132.119</v>
      </c>
      <c r="DI13" t="s">
        <v>69</v>
      </c>
      <c r="DJ13" t="s">
        <v>69</v>
      </c>
      <c r="DK13">
        <v>92</v>
      </c>
      <c r="DL13" t="s">
        <v>119</v>
      </c>
      <c r="DM13" t="s">
        <v>69</v>
      </c>
      <c r="DN13" t="s">
        <v>120</v>
      </c>
      <c r="DO13" t="s">
        <v>69</v>
      </c>
      <c r="DP13">
        <v>147.131</v>
      </c>
      <c r="DQ13" t="s">
        <v>69</v>
      </c>
      <c r="DR13" t="s">
        <v>69</v>
      </c>
      <c r="DS13">
        <v>93</v>
      </c>
      <c r="DT13" t="s">
        <v>76</v>
      </c>
      <c r="DU13" t="s">
        <v>69</v>
      </c>
      <c r="DV13" t="s">
        <v>75</v>
      </c>
      <c r="DW13" t="s">
        <v>69</v>
      </c>
      <c r="DX13">
        <v>146.18899999999999</v>
      </c>
      <c r="DY13" t="s">
        <v>69</v>
      </c>
      <c r="DZ13" t="s">
        <v>69</v>
      </c>
      <c r="EA13">
        <v>98</v>
      </c>
      <c r="EB13" t="s">
        <v>119</v>
      </c>
      <c r="EC13" t="s">
        <v>153</v>
      </c>
      <c r="ED13" t="s">
        <v>120</v>
      </c>
      <c r="EE13" t="s">
        <v>153</v>
      </c>
      <c r="EF13">
        <v>147.131</v>
      </c>
      <c r="EG13" t="s">
        <v>69</v>
      </c>
      <c r="EH13" t="s">
        <v>69</v>
      </c>
      <c r="EI13">
        <v>99</v>
      </c>
      <c r="EJ13" t="s">
        <v>250</v>
      </c>
      <c r="EK13" t="s">
        <v>153</v>
      </c>
      <c r="EL13" t="s">
        <v>152</v>
      </c>
      <c r="EM13" t="s">
        <v>153</v>
      </c>
      <c r="EN13">
        <v>204.22800000000001</v>
      </c>
      <c r="EO13" t="s">
        <v>153</v>
      </c>
      <c r="EP13" t="s">
        <v>153</v>
      </c>
      <c r="EQ13">
        <v>100</v>
      </c>
      <c r="ER13" t="s">
        <v>72</v>
      </c>
      <c r="ES13" t="s">
        <v>153</v>
      </c>
      <c r="ET13" t="s">
        <v>71</v>
      </c>
      <c r="EU13" t="s">
        <v>153</v>
      </c>
      <c r="EV13">
        <v>131.17500000000001</v>
      </c>
      <c r="EW13" t="s">
        <v>69</v>
      </c>
      <c r="EX13" t="s">
        <v>69</v>
      </c>
      <c r="EY13">
        <v>102</v>
      </c>
      <c r="EZ13" t="s">
        <v>76</v>
      </c>
      <c r="FA13" t="s">
        <v>69</v>
      </c>
      <c r="FB13" t="s">
        <v>75</v>
      </c>
      <c r="FC13" t="s">
        <v>69</v>
      </c>
      <c r="FD13">
        <v>146.18899999999999</v>
      </c>
      <c r="FE13" t="s">
        <v>69</v>
      </c>
      <c r="FF13" t="s">
        <v>69</v>
      </c>
      <c r="FG13">
        <v>103</v>
      </c>
      <c r="FH13" t="s">
        <v>74</v>
      </c>
      <c r="FI13" t="s">
        <v>153</v>
      </c>
      <c r="FJ13" t="s">
        <v>75</v>
      </c>
      <c r="FK13" t="s">
        <v>153</v>
      </c>
      <c r="FL13">
        <v>174.203</v>
      </c>
      <c r="FM13" t="s">
        <v>153</v>
      </c>
      <c r="FN13" t="s">
        <v>153</v>
      </c>
      <c r="FO13">
        <v>107</v>
      </c>
      <c r="FP13" t="s">
        <v>74</v>
      </c>
      <c r="FQ13" t="s">
        <v>153</v>
      </c>
      <c r="FR13" t="s">
        <v>75</v>
      </c>
      <c r="FS13" t="s">
        <v>153</v>
      </c>
      <c r="FT13">
        <v>174.203</v>
      </c>
      <c r="FU13" t="s">
        <v>69</v>
      </c>
      <c r="FV13" t="s">
        <v>69</v>
      </c>
    </row>
    <row r="14" spans="1:178" x14ac:dyDescent="0.25">
      <c r="A14">
        <v>7</v>
      </c>
      <c r="B14" t="str">
        <f>HYPERLINK("http://www.ncbi.nlm.nih.gov/protein/XP_042784790.1","XP_042784790.1")</f>
        <v>XP_042784790.1</v>
      </c>
      <c r="C14">
        <v>53677</v>
      </c>
      <c r="D14" t="str">
        <f>HYPERLINK("http://www.ncbi.nlm.nih.gov/Taxonomy/Browser/wwwtax.cgi?mode=Info&amp;id=9689&amp;lvl=3&amp;lin=f&amp;keep=1&amp;srchmode=1&amp;unlock","9689")</f>
        <v>9689</v>
      </c>
      <c r="E14" t="s">
        <v>66</v>
      </c>
      <c r="F14" t="str">
        <f>HYPERLINK("http://www.ncbi.nlm.nih.gov/Taxonomy/Browser/wwwtax.cgi?mode=Info&amp;id=9689&amp;lvl=3&amp;lin=f&amp;keep=1&amp;srchmode=1&amp;unlock","Panthera leo")</f>
        <v>Panthera leo</v>
      </c>
      <c r="G14" t="s">
        <v>90</v>
      </c>
      <c r="H14" t="str">
        <f>HYPERLINK("http://www.ncbi.nlm.nih.gov/protein/XP_042784790.1","bone marrow stromal antigen 2")</f>
        <v>bone marrow stromal antigen 2</v>
      </c>
      <c r="I14" t="s">
        <v>248</v>
      </c>
      <c r="J14" t="s">
        <v>153</v>
      </c>
      <c r="K14">
        <v>35</v>
      </c>
      <c r="L14" t="s">
        <v>73</v>
      </c>
      <c r="M14" t="s">
        <v>69</v>
      </c>
      <c r="N14" t="s">
        <v>71</v>
      </c>
      <c r="O14" t="s">
        <v>69</v>
      </c>
      <c r="P14">
        <v>89.093999999999994</v>
      </c>
      <c r="Q14" t="s">
        <v>69</v>
      </c>
      <c r="R14" t="s">
        <v>69</v>
      </c>
      <c r="S14">
        <v>36</v>
      </c>
      <c r="T14" t="s">
        <v>153</v>
      </c>
      <c r="U14" t="s">
        <v>69</v>
      </c>
      <c r="V14" t="s">
        <v>148</v>
      </c>
      <c r="W14" t="s">
        <v>69</v>
      </c>
      <c r="X14">
        <v>132.119</v>
      </c>
      <c r="Y14" t="s">
        <v>69</v>
      </c>
      <c r="Z14" t="s">
        <v>69</v>
      </c>
      <c r="AA14">
        <v>37</v>
      </c>
      <c r="AB14" t="s">
        <v>155</v>
      </c>
      <c r="AC14" t="s">
        <v>69</v>
      </c>
      <c r="AD14" t="s">
        <v>150</v>
      </c>
      <c r="AE14" t="s">
        <v>69</v>
      </c>
      <c r="AF14">
        <v>105.093</v>
      </c>
      <c r="AG14" t="s">
        <v>69</v>
      </c>
      <c r="AH14" t="s">
        <v>69</v>
      </c>
      <c r="AI14">
        <v>38</v>
      </c>
      <c r="AJ14" t="s">
        <v>76</v>
      </c>
      <c r="AK14" t="s">
        <v>153</v>
      </c>
      <c r="AL14" t="s">
        <v>75</v>
      </c>
      <c r="AM14" t="s">
        <v>153</v>
      </c>
      <c r="AN14">
        <v>146.18899999999999</v>
      </c>
      <c r="AO14" t="s">
        <v>69</v>
      </c>
      <c r="AP14" t="s">
        <v>69</v>
      </c>
      <c r="AQ14">
        <v>39</v>
      </c>
      <c r="AR14" t="s">
        <v>73</v>
      </c>
      <c r="AS14" t="s">
        <v>69</v>
      </c>
      <c r="AT14" t="s">
        <v>71</v>
      </c>
      <c r="AU14" t="s">
        <v>69</v>
      </c>
      <c r="AV14">
        <v>89.093999999999994</v>
      </c>
      <c r="AW14" t="s">
        <v>69</v>
      </c>
      <c r="AX14" t="s">
        <v>69</v>
      </c>
      <c r="AY14">
        <v>40</v>
      </c>
      <c r="AZ14" t="s">
        <v>249</v>
      </c>
      <c r="BA14" t="s">
        <v>69</v>
      </c>
      <c r="BB14" t="s">
        <v>117</v>
      </c>
      <c r="BC14" t="s">
        <v>69</v>
      </c>
      <c r="BD14">
        <v>121.154</v>
      </c>
      <c r="BE14" t="s">
        <v>69</v>
      </c>
      <c r="BF14" t="s">
        <v>69</v>
      </c>
      <c r="BG14">
        <v>71</v>
      </c>
      <c r="BH14" t="s">
        <v>149</v>
      </c>
      <c r="BI14" t="s">
        <v>153</v>
      </c>
      <c r="BJ14" t="s">
        <v>150</v>
      </c>
      <c r="BK14" t="s">
        <v>153</v>
      </c>
      <c r="BL14">
        <v>119.119</v>
      </c>
      <c r="BM14" t="s">
        <v>69</v>
      </c>
      <c r="BN14" t="s">
        <v>69</v>
      </c>
      <c r="BO14">
        <v>72</v>
      </c>
      <c r="BP14" t="s">
        <v>119</v>
      </c>
      <c r="BQ14" t="s">
        <v>69</v>
      </c>
      <c r="BR14" t="s">
        <v>120</v>
      </c>
      <c r="BS14" t="s">
        <v>69</v>
      </c>
      <c r="BT14">
        <v>147.131</v>
      </c>
      <c r="BU14" t="s">
        <v>69</v>
      </c>
      <c r="BV14" t="s">
        <v>69</v>
      </c>
      <c r="BW14">
        <v>74</v>
      </c>
      <c r="BX14" t="s">
        <v>147</v>
      </c>
      <c r="BY14" t="s">
        <v>69</v>
      </c>
      <c r="BZ14" t="s">
        <v>148</v>
      </c>
      <c r="CA14" t="s">
        <v>69</v>
      </c>
      <c r="CB14">
        <v>146.14599999999999</v>
      </c>
      <c r="CC14" t="s">
        <v>69</v>
      </c>
      <c r="CD14" t="s">
        <v>69</v>
      </c>
      <c r="CE14">
        <v>75</v>
      </c>
      <c r="CF14" t="s">
        <v>73</v>
      </c>
      <c r="CG14" t="s">
        <v>69</v>
      </c>
      <c r="CH14" t="s">
        <v>71</v>
      </c>
      <c r="CI14" t="s">
        <v>69</v>
      </c>
      <c r="CJ14">
        <v>89.093999999999994</v>
      </c>
      <c r="CK14" t="s">
        <v>69</v>
      </c>
      <c r="CL14" t="s">
        <v>69</v>
      </c>
      <c r="CM14">
        <v>76</v>
      </c>
      <c r="CN14" t="s">
        <v>73</v>
      </c>
      <c r="CO14" t="s">
        <v>69</v>
      </c>
      <c r="CP14" t="s">
        <v>71</v>
      </c>
      <c r="CQ14" t="s">
        <v>69</v>
      </c>
      <c r="CR14">
        <v>89.093999999999994</v>
      </c>
      <c r="CS14" t="s">
        <v>69</v>
      </c>
      <c r="CT14" t="s">
        <v>69</v>
      </c>
      <c r="CU14">
        <v>78</v>
      </c>
      <c r="CV14" t="s">
        <v>249</v>
      </c>
      <c r="CW14" t="s">
        <v>69</v>
      </c>
      <c r="CX14" t="s">
        <v>117</v>
      </c>
      <c r="CY14" t="s">
        <v>69</v>
      </c>
      <c r="CZ14">
        <v>121.154</v>
      </c>
      <c r="DA14" t="s">
        <v>69</v>
      </c>
      <c r="DB14" t="s">
        <v>69</v>
      </c>
      <c r="DC14">
        <v>79</v>
      </c>
      <c r="DD14" t="s">
        <v>153</v>
      </c>
      <c r="DE14" t="s">
        <v>69</v>
      </c>
      <c r="DF14" t="s">
        <v>148</v>
      </c>
      <c r="DG14" t="s">
        <v>69</v>
      </c>
      <c r="DH14">
        <v>132.119</v>
      </c>
      <c r="DI14" t="s">
        <v>69</v>
      </c>
      <c r="DJ14" t="s">
        <v>69</v>
      </c>
      <c r="DK14">
        <v>92</v>
      </c>
      <c r="DL14" t="s">
        <v>119</v>
      </c>
      <c r="DM14" t="s">
        <v>69</v>
      </c>
      <c r="DN14" t="s">
        <v>120</v>
      </c>
      <c r="DO14" t="s">
        <v>69</v>
      </c>
      <c r="DP14">
        <v>147.131</v>
      </c>
      <c r="DQ14" t="s">
        <v>69</v>
      </c>
      <c r="DR14" t="s">
        <v>69</v>
      </c>
      <c r="DS14">
        <v>93</v>
      </c>
      <c r="DT14" t="s">
        <v>76</v>
      </c>
      <c r="DU14" t="s">
        <v>69</v>
      </c>
      <c r="DV14" t="s">
        <v>75</v>
      </c>
      <c r="DW14" t="s">
        <v>69</v>
      </c>
      <c r="DX14">
        <v>146.18899999999999</v>
      </c>
      <c r="DY14" t="s">
        <v>69</v>
      </c>
      <c r="DZ14" t="s">
        <v>69</v>
      </c>
      <c r="EA14">
        <v>98</v>
      </c>
      <c r="EB14" t="s">
        <v>119</v>
      </c>
      <c r="EC14" t="s">
        <v>153</v>
      </c>
      <c r="ED14" t="s">
        <v>120</v>
      </c>
      <c r="EE14" t="s">
        <v>153</v>
      </c>
      <c r="EF14">
        <v>147.131</v>
      </c>
      <c r="EG14" t="s">
        <v>69</v>
      </c>
      <c r="EH14" t="s">
        <v>69</v>
      </c>
      <c r="EI14">
        <v>99</v>
      </c>
      <c r="EJ14" t="s">
        <v>250</v>
      </c>
      <c r="EK14" t="s">
        <v>153</v>
      </c>
      <c r="EL14" t="s">
        <v>152</v>
      </c>
      <c r="EM14" t="s">
        <v>153</v>
      </c>
      <c r="EN14">
        <v>204.22800000000001</v>
      </c>
      <c r="EO14" t="s">
        <v>153</v>
      </c>
      <c r="EP14" t="s">
        <v>153</v>
      </c>
      <c r="EQ14">
        <v>100</v>
      </c>
      <c r="ER14" t="s">
        <v>72</v>
      </c>
      <c r="ES14" t="s">
        <v>153</v>
      </c>
      <c r="ET14" t="s">
        <v>71</v>
      </c>
      <c r="EU14" t="s">
        <v>153</v>
      </c>
      <c r="EV14">
        <v>131.17500000000001</v>
      </c>
      <c r="EW14" t="s">
        <v>69</v>
      </c>
      <c r="EX14" t="s">
        <v>69</v>
      </c>
      <c r="EY14">
        <v>102</v>
      </c>
      <c r="EZ14" t="s">
        <v>76</v>
      </c>
      <c r="FA14" t="s">
        <v>69</v>
      </c>
      <c r="FB14" t="s">
        <v>75</v>
      </c>
      <c r="FC14" t="s">
        <v>69</v>
      </c>
      <c r="FD14">
        <v>146.18899999999999</v>
      </c>
      <c r="FE14" t="s">
        <v>69</v>
      </c>
      <c r="FF14" t="s">
        <v>69</v>
      </c>
      <c r="FG14">
        <v>103</v>
      </c>
      <c r="FH14" t="s">
        <v>74</v>
      </c>
      <c r="FI14" t="s">
        <v>153</v>
      </c>
      <c r="FJ14" t="s">
        <v>75</v>
      </c>
      <c r="FK14" t="s">
        <v>153</v>
      </c>
      <c r="FL14">
        <v>174.203</v>
      </c>
      <c r="FM14" t="s">
        <v>153</v>
      </c>
      <c r="FN14" t="s">
        <v>153</v>
      </c>
      <c r="FO14">
        <v>107</v>
      </c>
      <c r="FP14" t="s">
        <v>74</v>
      </c>
      <c r="FQ14" t="s">
        <v>153</v>
      </c>
      <c r="FR14" t="s">
        <v>75</v>
      </c>
      <c r="FS14" t="s">
        <v>153</v>
      </c>
      <c r="FT14">
        <v>174.203</v>
      </c>
      <c r="FU14" t="s">
        <v>69</v>
      </c>
      <c r="FV14" t="s">
        <v>69</v>
      </c>
    </row>
    <row r="15" spans="1:178" x14ac:dyDescent="0.25">
      <c r="A15">
        <v>7</v>
      </c>
      <c r="B15" t="str">
        <f>HYPERLINK("http://www.ncbi.nlm.nih.gov/protein/XP_038284167.1","XP_038284167.1")</f>
        <v>XP_038284167.1</v>
      </c>
      <c r="C15">
        <v>136357</v>
      </c>
      <c r="D15" t="str">
        <f>HYPERLINK("http://www.ncbi.nlm.nih.gov/Taxonomy/Browser/wwwtax.cgi?mode=Info&amp;id=9615&amp;lvl=3&amp;lin=f&amp;keep=1&amp;srchmode=1&amp;unlock","9615")</f>
        <v>9615</v>
      </c>
      <c r="E15" t="s">
        <v>66</v>
      </c>
      <c r="F15" t="str">
        <f>HYPERLINK("http://www.ncbi.nlm.nih.gov/Taxonomy/Browser/wwwtax.cgi?mode=Info&amp;id=9615&amp;lvl=3&amp;lin=f&amp;keep=1&amp;srchmode=1&amp;unlock","Canis lupus familiaris")</f>
        <v>Canis lupus familiaris</v>
      </c>
      <c r="G15" t="s">
        <v>84</v>
      </c>
      <c r="H15" t="str">
        <f>HYPERLINK("http://www.ncbi.nlm.nih.gov/protein/XP_038284167.1","bone marrow stromal antigen 2")</f>
        <v>bone marrow stromal antigen 2</v>
      </c>
      <c r="I15" t="s">
        <v>248</v>
      </c>
      <c r="J15" t="s">
        <v>153</v>
      </c>
      <c r="K15">
        <v>55</v>
      </c>
      <c r="L15" t="s">
        <v>149</v>
      </c>
      <c r="M15" t="s">
        <v>153</v>
      </c>
      <c r="N15" t="s">
        <v>150</v>
      </c>
      <c r="O15" t="s">
        <v>153</v>
      </c>
      <c r="P15">
        <v>119.119</v>
      </c>
      <c r="Q15" t="s">
        <v>153</v>
      </c>
      <c r="R15" t="s">
        <v>153</v>
      </c>
      <c r="S15">
        <v>56</v>
      </c>
      <c r="T15" t="s">
        <v>153</v>
      </c>
      <c r="U15" t="s">
        <v>69</v>
      </c>
      <c r="V15" t="s">
        <v>148</v>
      </c>
      <c r="W15" t="s">
        <v>69</v>
      </c>
      <c r="X15">
        <v>132.119</v>
      </c>
      <c r="Y15" t="s">
        <v>69</v>
      </c>
      <c r="Z15" t="s">
        <v>69</v>
      </c>
      <c r="AA15">
        <v>57</v>
      </c>
      <c r="AB15" t="s">
        <v>155</v>
      </c>
      <c r="AC15" t="s">
        <v>69</v>
      </c>
      <c r="AD15" t="s">
        <v>150</v>
      </c>
      <c r="AE15" t="s">
        <v>69</v>
      </c>
      <c r="AF15">
        <v>105.093</v>
      </c>
      <c r="AG15" t="s">
        <v>69</v>
      </c>
      <c r="AH15" t="s">
        <v>69</v>
      </c>
      <c r="AI15">
        <v>58</v>
      </c>
      <c r="AJ15" t="s">
        <v>76</v>
      </c>
      <c r="AK15" t="s">
        <v>153</v>
      </c>
      <c r="AL15" t="s">
        <v>75</v>
      </c>
      <c r="AM15" t="s">
        <v>153</v>
      </c>
      <c r="AN15">
        <v>146.18899999999999</v>
      </c>
      <c r="AO15" t="s">
        <v>69</v>
      </c>
      <c r="AP15" t="s">
        <v>69</v>
      </c>
      <c r="AQ15">
        <v>59</v>
      </c>
      <c r="AR15" t="s">
        <v>73</v>
      </c>
      <c r="AS15" t="s">
        <v>69</v>
      </c>
      <c r="AT15" t="s">
        <v>71</v>
      </c>
      <c r="AU15" t="s">
        <v>69</v>
      </c>
      <c r="AV15">
        <v>89.093999999999994</v>
      </c>
      <c r="AW15" t="s">
        <v>69</v>
      </c>
      <c r="AX15" t="s">
        <v>69</v>
      </c>
      <c r="AY15">
        <v>60</v>
      </c>
      <c r="AZ15" t="s">
        <v>249</v>
      </c>
      <c r="BA15" t="s">
        <v>69</v>
      </c>
      <c r="BB15" t="s">
        <v>117</v>
      </c>
      <c r="BC15" t="s">
        <v>69</v>
      </c>
      <c r="BD15">
        <v>121.154</v>
      </c>
      <c r="BE15" t="s">
        <v>69</v>
      </c>
      <c r="BF15" t="s">
        <v>69</v>
      </c>
      <c r="BG15">
        <v>91</v>
      </c>
      <c r="BH15" t="s">
        <v>149</v>
      </c>
      <c r="BI15" t="s">
        <v>153</v>
      </c>
      <c r="BJ15" t="s">
        <v>150</v>
      </c>
      <c r="BK15" t="s">
        <v>153</v>
      </c>
      <c r="BL15">
        <v>119.119</v>
      </c>
      <c r="BM15" t="s">
        <v>69</v>
      </c>
      <c r="BN15" t="s">
        <v>69</v>
      </c>
      <c r="BO15">
        <v>92</v>
      </c>
      <c r="BP15" t="s">
        <v>116</v>
      </c>
      <c r="BQ15" t="s">
        <v>153</v>
      </c>
      <c r="BR15" t="s">
        <v>117</v>
      </c>
      <c r="BS15" t="s">
        <v>153</v>
      </c>
      <c r="BT15">
        <v>149.208</v>
      </c>
      <c r="BU15" t="s">
        <v>69</v>
      </c>
      <c r="BV15" t="s">
        <v>69</v>
      </c>
      <c r="BW15">
        <v>94</v>
      </c>
      <c r="BX15" t="s">
        <v>147</v>
      </c>
      <c r="BY15" t="s">
        <v>69</v>
      </c>
      <c r="BZ15" t="s">
        <v>148</v>
      </c>
      <c r="CA15" t="s">
        <v>69</v>
      </c>
      <c r="CB15">
        <v>146.14599999999999</v>
      </c>
      <c r="CC15" t="s">
        <v>69</v>
      </c>
      <c r="CD15" t="s">
        <v>69</v>
      </c>
      <c r="CE15">
        <v>95</v>
      </c>
      <c r="CF15" t="s">
        <v>73</v>
      </c>
      <c r="CG15" t="s">
        <v>69</v>
      </c>
      <c r="CH15" t="s">
        <v>71</v>
      </c>
      <c r="CI15" t="s">
        <v>69</v>
      </c>
      <c r="CJ15">
        <v>89.093999999999994</v>
      </c>
      <c r="CK15" t="s">
        <v>69</v>
      </c>
      <c r="CL15" t="s">
        <v>69</v>
      </c>
      <c r="CM15">
        <v>96</v>
      </c>
      <c r="CN15" t="s">
        <v>149</v>
      </c>
      <c r="CO15" t="s">
        <v>153</v>
      </c>
      <c r="CP15" t="s">
        <v>150</v>
      </c>
      <c r="CQ15" t="s">
        <v>153</v>
      </c>
      <c r="CR15">
        <v>119.119</v>
      </c>
      <c r="CS15" t="s">
        <v>153</v>
      </c>
      <c r="CT15" t="s">
        <v>153</v>
      </c>
      <c r="CU15">
        <v>98</v>
      </c>
      <c r="CV15" t="s">
        <v>249</v>
      </c>
      <c r="CW15" t="s">
        <v>69</v>
      </c>
      <c r="CX15" t="s">
        <v>117</v>
      </c>
      <c r="CY15" t="s">
        <v>69</v>
      </c>
      <c r="CZ15">
        <v>121.154</v>
      </c>
      <c r="DA15" t="s">
        <v>69</v>
      </c>
      <c r="DB15" t="s">
        <v>69</v>
      </c>
      <c r="DC15">
        <v>99</v>
      </c>
      <c r="DD15" t="s">
        <v>153</v>
      </c>
      <c r="DE15" t="s">
        <v>69</v>
      </c>
      <c r="DF15" t="s">
        <v>148</v>
      </c>
      <c r="DG15" t="s">
        <v>69</v>
      </c>
      <c r="DH15">
        <v>132.119</v>
      </c>
      <c r="DI15" t="s">
        <v>69</v>
      </c>
      <c r="DJ15" t="s">
        <v>69</v>
      </c>
      <c r="DK15">
        <v>112</v>
      </c>
      <c r="DL15" t="s">
        <v>119</v>
      </c>
      <c r="DM15" t="s">
        <v>69</v>
      </c>
      <c r="DN15" t="s">
        <v>120</v>
      </c>
      <c r="DO15" t="s">
        <v>69</v>
      </c>
      <c r="DP15">
        <v>147.131</v>
      </c>
      <c r="DQ15" t="s">
        <v>69</v>
      </c>
      <c r="DR15" t="s">
        <v>69</v>
      </c>
      <c r="DS15">
        <v>113</v>
      </c>
      <c r="DT15" t="s">
        <v>76</v>
      </c>
      <c r="DU15" t="s">
        <v>69</v>
      </c>
      <c r="DV15" t="s">
        <v>75</v>
      </c>
      <c r="DW15" t="s">
        <v>69</v>
      </c>
      <c r="DX15">
        <v>146.18899999999999</v>
      </c>
      <c r="DY15" t="s">
        <v>69</v>
      </c>
      <c r="DZ15" t="s">
        <v>69</v>
      </c>
      <c r="EA15">
        <v>118</v>
      </c>
      <c r="EB15" t="s">
        <v>119</v>
      </c>
      <c r="EC15" t="s">
        <v>153</v>
      </c>
      <c r="ED15" t="s">
        <v>120</v>
      </c>
      <c r="EE15" t="s">
        <v>153</v>
      </c>
      <c r="EF15">
        <v>147.131</v>
      </c>
      <c r="EG15" t="s">
        <v>69</v>
      </c>
      <c r="EH15" t="s">
        <v>69</v>
      </c>
      <c r="EI15">
        <v>119</v>
      </c>
      <c r="EJ15" t="s">
        <v>147</v>
      </c>
      <c r="EK15" t="s">
        <v>153</v>
      </c>
      <c r="EL15" t="s">
        <v>148</v>
      </c>
      <c r="EM15" t="s">
        <v>153</v>
      </c>
      <c r="EN15">
        <v>146.14599999999999</v>
      </c>
      <c r="EO15" t="s">
        <v>153</v>
      </c>
      <c r="EP15" t="s">
        <v>153</v>
      </c>
      <c r="EQ15">
        <v>120</v>
      </c>
      <c r="ER15" t="s">
        <v>72</v>
      </c>
      <c r="ES15" t="s">
        <v>153</v>
      </c>
      <c r="ET15" t="s">
        <v>71</v>
      </c>
      <c r="EU15" t="s">
        <v>153</v>
      </c>
      <c r="EV15">
        <v>131.17500000000001</v>
      </c>
      <c r="EW15" t="s">
        <v>69</v>
      </c>
      <c r="EX15" t="s">
        <v>69</v>
      </c>
      <c r="EY15">
        <v>122</v>
      </c>
      <c r="EZ15" t="s">
        <v>74</v>
      </c>
      <c r="FA15" t="s">
        <v>153</v>
      </c>
      <c r="FB15" t="s">
        <v>75</v>
      </c>
      <c r="FC15" t="s">
        <v>69</v>
      </c>
      <c r="FD15">
        <v>174.203</v>
      </c>
      <c r="FE15" t="s">
        <v>69</v>
      </c>
      <c r="FF15" t="s">
        <v>69</v>
      </c>
      <c r="FG15">
        <v>123</v>
      </c>
      <c r="FH15" t="s">
        <v>70</v>
      </c>
      <c r="FI15" t="s">
        <v>153</v>
      </c>
      <c r="FJ15" t="s">
        <v>71</v>
      </c>
      <c r="FK15" t="s">
        <v>69</v>
      </c>
      <c r="FL15">
        <v>75.066999999999993</v>
      </c>
      <c r="FM15" t="s">
        <v>153</v>
      </c>
      <c r="FN15" t="s">
        <v>69</v>
      </c>
      <c r="FO15">
        <v>127</v>
      </c>
      <c r="FP15" t="s">
        <v>147</v>
      </c>
      <c r="FQ15" t="s">
        <v>153</v>
      </c>
      <c r="FR15" t="s">
        <v>148</v>
      </c>
      <c r="FS15" t="s">
        <v>153</v>
      </c>
      <c r="FT15">
        <v>146.14599999999999</v>
      </c>
      <c r="FU15" t="s">
        <v>69</v>
      </c>
      <c r="FV15" t="s">
        <v>69</v>
      </c>
    </row>
    <row r="16" spans="1:178" x14ac:dyDescent="0.25">
      <c r="A16">
        <v>7</v>
      </c>
      <c r="B16" t="str">
        <f>HYPERLINK("http://www.ncbi.nlm.nih.gov/protein/XP_020736362.1","XP_020736362.1")</f>
        <v>XP_020736362.1</v>
      </c>
      <c r="C16">
        <v>48218</v>
      </c>
      <c r="D16" t="str">
        <f>HYPERLINK("http://www.ncbi.nlm.nih.gov/Taxonomy/Browser/wwwtax.cgi?mode=Info&amp;id=9880&amp;lvl=3&amp;lin=f&amp;keep=1&amp;srchmode=1&amp;unlock","9880")</f>
        <v>9880</v>
      </c>
      <c r="E16" t="s">
        <v>66</v>
      </c>
      <c r="F16" t="str">
        <f>HYPERLINK("http://www.ncbi.nlm.nih.gov/Taxonomy/Browser/wwwtax.cgi?mode=Info&amp;id=9880&amp;lvl=3&amp;lin=f&amp;keep=1&amp;srchmode=1&amp;unlock","Odocoileus virginianus texanus")</f>
        <v>Odocoileus virginianus texanus</v>
      </c>
      <c r="G16" s="1" t="s">
        <v>81</v>
      </c>
      <c r="H16" s="1" t="str">
        <f>HYPERLINK("http://www.ncbi.nlm.nih.gov/protein/XP_020736362.1","bone marrow stromal antigen 2 isoform X4")</f>
        <v>bone marrow stromal antigen 2 isoform X4</v>
      </c>
      <c r="I16" t="s">
        <v>248</v>
      </c>
      <c r="J16" t="s">
        <v>153</v>
      </c>
      <c r="K16">
        <v>53</v>
      </c>
      <c r="L16" t="s">
        <v>73</v>
      </c>
      <c r="M16" t="s">
        <v>69</v>
      </c>
      <c r="N16" t="s">
        <v>71</v>
      </c>
      <c r="O16" t="s">
        <v>69</v>
      </c>
      <c r="P16">
        <v>89.093999999999994</v>
      </c>
      <c r="Q16" t="s">
        <v>69</v>
      </c>
      <c r="R16" t="s">
        <v>69</v>
      </c>
      <c r="S16">
        <v>54</v>
      </c>
      <c r="T16" t="s">
        <v>153</v>
      </c>
      <c r="U16" t="s">
        <v>69</v>
      </c>
      <c r="V16" t="s">
        <v>148</v>
      </c>
      <c r="W16" t="s">
        <v>69</v>
      </c>
      <c r="X16">
        <v>132.119</v>
      </c>
      <c r="Y16" t="s">
        <v>69</v>
      </c>
      <c r="Z16" t="s">
        <v>69</v>
      </c>
      <c r="AA16">
        <v>55</v>
      </c>
      <c r="AB16" t="s">
        <v>155</v>
      </c>
      <c r="AC16" t="s">
        <v>69</v>
      </c>
      <c r="AD16" t="s">
        <v>150</v>
      </c>
      <c r="AE16" t="s">
        <v>69</v>
      </c>
      <c r="AF16">
        <v>105.093</v>
      </c>
      <c r="AG16" t="s">
        <v>69</v>
      </c>
      <c r="AH16" t="s">
        <v>69</v>
      </c>
      <c r="AI16">
        <v>56</v>
      </c>
      <c r="AJ16" t="s">
        <v>119</v>
      </c>
      <c r="AK16" t="s">
        <v>69</v>
      </c>
      <c r="AL16" t="s">
        <v>120</v>
      </c>
      <c r="AM16" t="s">
        <v>69</v>
      </c>
      <c r="AN16">
        <v>147.131</v>
      </c>
      <c r="AO16" t="s">
        <v>69</v>
      </c>
      <c r="AP16" t="s">
        <v>69</v>
      </c>
      <c r="AQ16">
        <v>57</v>
      </c>
      <c r="AR16" t="s">
        <v>73</v>
      </c>
      <c r="AS16" t="s">
        <v>69</v>
      </c>
      <c r="AT16" t="s">
        <v>71</v>
      </c>
      <c r="AU16" t="s">
        <v>69</v>
      </c>
      <c r="AV16">
        <v>89.093999999999994</v>
      </c>
      <c r="AW16" t="s">
        <v>69</v>
      </c>
      <c r="AX16" t="s">
        <v>69</v>
      </c>
      <c r="AY16">
        <v>58</v>
      </c>
      <c r="AZ16" t="s">
        <v>249</v>
      </c>
      <c r="BA16" t="s">
        <v>69</v>
      </c>
      <c r="BB16" t="s">
        <v>117</v>
      </c>
      <c r="BC16" t="s">
        <v>69</v>
      </c>
      <c r="BD16">
        <v>121.154</v>
      </c>
      <c r="BE16" t="s">
        <v>69</v>
      </c>
      <c r="BF16" t="s">
        <v>69</v>
      </c>
      <c r="BG16">
        <v>89</v>
      </c>
      <c r="BH16" t="s">
        <v>76</v>
      </c>
      <c r="BI16" t="s">
        <v>153</v>
      </c>
      <c r="BJ16" t="s">
        <v>75</v>
      </c>
      <c r="BK16" t="s">
        <v>153</v>
      </c>
      <c r="BL16">
        <v>146.18899999999999</v>
      </c>
      <c r="BM16" t="s">
        <v>69</v>
      </c>
      <c r="BN16" t="s">
        <v>69</v>
      </c>
      <c r="BO16">
        <v>90</v>
      </c>
      <c r="BP16" t="s">
        <v>119</v>
      </c>
      <c r="BQ16" t="s">
        <v>69</v>
      </c>
      <c r="BR16" t="s">
        <v>120</v>
      </c>
      <c r="BS16" t="s">
        <v>69</v>
      </c>
      <c r="BT16">
        <v>147.131</v>
      </c>
      <c r="BU16" t="s">
        <v>69</v>
      </c>
      <c r="BV16" t="s">
        <v>69</v>
      </c>
      <c r="BW16">
        <v>92</v>
      </c>
      <c r="BX16" t="s">
        <v>119</v>
      </c>
      <c r="BY16" t="s">
        <v>153</v>
      </c>
      <c r="BZ16" t="s">
        <v>120</v>
      </c>
      <c r="CA16" t="s">
        <v>153</v>
      </c>
      <c r="CB16">
        <v>147.131</v>
      </c>
      <c r="CC16" t="s">
        <v>69</v>
      </c>
      <c r="CD16" t="s">
        <v>69</v>
      </c>
      <c r="CE16">
        <v>93</v>
      </c>
      <c r="CF16" t="s">
        <v>73</v>
      </c>
      <c r="CG16" t="s">
        <v>69</v>
      </c>
      <c r="CH16" t="s">
        <v>71</v>
      </c>
      <c r="CI16" t="s">
        <v>69</v>
      </c>
      <c r="CJ16">
        <v>89.093999999999994</v>
      </c>
      <c r="CK16" t="s">
        <v>69</v>
      </c>
      <c r="CL16" t="s">
        <v>69</v>
      </c>
      <c r="CM16">
        <v>94</v>
      </c>
      <c r="CN16" t="s">
        <v>73</v>
      </c>
      <c r="CO16" t="s">
        <v>69</v>
      </c>
      <c r="CP16" t="s">
        <v>71</v>
      </c>
      <c r="CQ16" t="s">
        <v>69</v>
      </c>
      <c r="CR16">
        <v>89.093999999999994</v>
      </c>
      <c r="CS16" t="s">
        <v>69</v>
      </c>
      <c r="CT16" t="s">
        <v>69</v>
      </c>
      <c r="CU16">
        <v>96</v>
      </c>
      <c r="CV16" t="s">
        <v>249</v>
      </c>
      <c r="CW16" t="s">
        <v>69</v>
      </c>
      <c r="CX16" t="s">
        <v>117</v>
      </c>
      <c r="CY16" t="s">
        <v>69</v>
      </c>
      <c r="CZ16">
        <v>121.154</v>
      </c>
      <c r="DA16" t="s">
        <v>69</v>
      </c>
      <c r="DB16" t="s">
        <v>69</v>
      </c>
      <c r="DC16">
        <v>97</v>
      </c>
      <c r="DD16" t="s">
        <v>153</v>
      </c>
      <c r="DE16" t="s">
        <v>69</v>
      </c>
      <c r="DF16" t="s">
        <v>148</v>
      </c>
      <c r="DG16" t="s">
        <v>69</v>
      </c>
      <c r="DH16">
        <v>132.119</v>
      </c>
      <c r="DI16" t="s">
        <v>69</v>
      </c>
      <c r="DJ16" t="s">
        <v>69</v>
      </c>
      <c r="DK16">
        <v>110</v>
      </c>
      <c r="DL16" t="s">
        <v>119</v>
      </c>
      <c r="DM16" t="s">
        <v>69</v>
      </c>
      <c r="DN16" t="s">
        <v>120</v>
      </c>
      <c r="DO16" t="s">
        <v>69</v>
      </c>
      <c r="DP16">
        <v>147.131</v>
      </c>
      <c r="DQ16" t="s">
        <v>69</v>
      </c>
      <c r="DR16" t="s">
        <v>69</v>
      </c>
      <c r="DS16">
        <v>111</v>
      </c>
      <c r="DT16" t="s">
        <v>147</v>
      </c>
      <c r="DU16" t="s">
        <v>153</v>
      </c>
      <c r="DV16" t="s">
        <v>148</v>
      </c>
      <c r="DW16" t="s">
        <v>153</v>
      </c>
      <c r="DX16">
        <v>146.14599999999999</v>
      </c>
      <c r="DY16" t="s">
        <v>69</v>
      </c>
      <c r="DZ16" t="s">
        <v>69</v>
      </c>
      <c r="EA16" t="s">
        <v>159</v>
      </c>
      <c r="EB16" t="s">
        <v>159</v>
      </c>
      <c r="EC16" t="s">
        <v>153</v>
      </c>
      <c r="ED16" t="s">
        <v>159</v>
      </c>
      <c r="EE16" t="s">
        <v>153</v>
      </c>
      <c r="EF16" t="s">
        <v>159</v>
      </c>
      <c r="EG16" t="s">
        <v>153</v>
      </c>
      <c r="EH16" t="s">
        <v>153</v>
      </c>
      <c r="EI16" t="s">
        <v>159</v>
      </c>
      <c r="EJ16" t="s">
        <v>159</v>
      </c>
      <c r="EK16" t="s">
        <v>153</v>
      </c>
      <c r="EL16" t="s">
        <v>159</v>
      </c>
      <c r="EM16" t="s">
        <v>153</v>
      </c>
      <c r="EN16" t="s">
        <v>159</v>
      </c>
      <c r="EO16" t="s">
        <v>153</v>
      </c>
      <c r="EP16" t="s">
        <v>153</v>
      </c>
      <c r="EQ16" t="s">
        <v>159</v>
      </c>
      <c r="ER16" t="s">
        <v>159</v>
      </c>
      <c r="ES16" t="s">
        <v>153</v>
      </c>
      <c r="ET16" t="s">
        <v>159</v>
      </c>
      <c r="EU16" t="s">
        <v>153</v>
      </c>
      <c r="EV16" t="s">
        <v>159</v>
      </c>
      <c r="EW16" t="s">
        <v>153</v>
      </c>
      <c r="EX16" t="s">
        <v>153</v>
      </c>
      <c r="EY16">
        <v>113</v>
      </c>
      <c r="EZ16" t="s">
        <v>147</v>
      </c>
      <c r="FA16" t="s">
        <v>153</v>
      </c>
      <c r="FB16" t="s">
        <v>148</v>
      </c>
      <c r="FC16" t="s">
        <v>153</v>
      </c>
      <c r="FD16">
        <v>146.14599999999999</v>
      </c>
      <c r="FE16" t="s">
        <v>69</v>
      </c>
      <c r="FF16" t="s">
        <v>69</v>
      </c>
      <c r="FG16">
        <v>114</v>
      </c>
      <c r="FH16" t="s">
        <v>115</v>
      </c>
      <c r="FI16" t="s">
        <v>69</v>
      </c>
      <c r="FJ16" t="s">
        <v>71</v>
      </c>
      <c r="FK16" t="s">
        <v>69</v>
      </c>
      <c r="FL16">
        <v>117.148</v>
      </c>
      <c r="FM16" t="s">
        <v>69</v>
      </c>
      <c r="FN16" t="s">
        <v>69</v>
      </c>
      <c r="FO16">
        <v>118</v>
      </c>
      <c r="FP16" t="s">
        <v>147</v>
      </c>
      <c r="FQ16" t="s">
        <v>153</v>
      </c>
      <c r="FR16" t="s">
        <v>148</v>
      </c>
      <c r="FS16" t="s">
        <v>153</v>
      </c>
      <c r="FT16">
        <v>146.14599999999999</v>
      </c>
      <c r="FU16" t="s">
        <v>69</v>
      </c>
      <c r="FV16" t="s">
        <v>69</v>
      </c>
    </row>
    <row r="17" spans="1:178" x14ac:dyDescent="0.25">
      <c r="A17">
        <v>7</v>
      </c>
      <c r="B17" t="str">
        <f>HYPERLINK("http://www.ncbi.nlm.nih.gov/protein/XP_004761089.1","XP_004761089.1")</f>
        <v>XP_004761089.1</v>
      </c>
      <c r="C17">
        <v>58003</v>
      </c>
      <c r="D17" t="str">
        <f>HYPERLINK("http://www.ncbi.nlm.nih.gov/Taxonomy/Browser/wwwtax.cgi?mode=Info&amp;id=9669&amp;lvl=3&amp;lin=f&amp;keep=1&amp;srchmode=1&amp;unlock","9669")</f>
        <v>9669</v>
      </c>
      <c r="E17" t="s">
        <v>66</v>
      </c>
      <c r="F17" t="str">
        <f>HYPERLINK("http://www.ncbi.nlm.nih.gov/Taxonomy/Browser/wwwtax.cgi?mode=Info&amp;id=9669&amp;lvl=3&amp;lin=f&amp;keep=1&amp;srchmode=1&amp;unlock","Mustela putorius furo")</f>
        <v>Mustela putorius furo</v>
      </c>
      <c r="G17" t="s">
        <v>98</v>
      </c>
      <c r="H17" t="str">
        <f>HYPERLINK("http://www.ncbi.nlm.nih.gov/protein/XP_004761089.1","bone marrow stromal antigen 2 isoform X2")</f>
        <v>bone marrow stromal antigen 2 isoform X2</v>
      </c>
      <c r="I17" t="s">
        <v>248</v>
      </c>
      <c r="J17" t="s">
        <v>153</v>
      </c>
      <c r="K17">
        <v>53</v>
      </c>
      <c r="L17" t="s">
        <v>73</v>
      </c>
      <c r="M17" t="s">
        <v>69</v>
      </c>
      <c r="N17" t="s">
        <v>71</v>
      </c>
      <c r="O17" t="s">
        <v>69</v>
      </c>
      <c r="P17">
        <v>89.093999999999994</v>
      </c>
      <c r="Q17" t="s">
        <v>69</v>
      </c>
      <c r="R17" t="s">
        <v>69</v>
      </c>
      <c r="S17">
        <v>54</v>
      </c>
      <c r="T17" t="s">
        <v>153</v>
      </c>
      <c r="U17" t="s">
        <v>69</v>
      </c>
      <c r="V17" t="s">
        <v>148</v>
      </c>
      <c r="W17" t="s">
        <v>69</v>
      </c>
      <c r="X17">
        <v>132.119</v>
      </c>
      <c r="Y17" t="s">
        <v>69</v>
      </c>
      <c r="Z17" t="s">
        <v>69</v>
      </c>
      <c r="AA17">
        <v>55</v>
      </c>
      <c r="AB17" t="s">
        <v>155</v>
      </c>
      <c r="AC17" t="s">
        <v>69</v>
      </c>
      <c r="AD17" t="s">
        <v>150</v>
      </c>
      <c r="AE17" t="s">
        <v>69</v>
      </c>
      <c r="AF17">
        <v>105.093</v>
      </c>
      <c r="AG17" t="s">
        <v>69</v>
      </c>
      <c r="AH17" t="s">
        <v>69</v>
      </c>
      <c r="AI17">
        <v>56</v>
      </c>
      <c r="AJ17" t="s">
        <v>76</v>
      </c>
      <c r="AK17" t="s">
        <v>153</v>
      </c>
      <c r="AL17" t="s">
        <v>75</v>
      </c>
      <c r="AM17" t="s">
        <v>153</v>
      </c>
      <c r="AN17">
        <v>146.18899999999999</v>
      </c>
      <c r="AO17" t="s">
        <v>69</v>
      </c>
      <c r="AP17" t="s">
        <v>69</v>
      </c>
      <c r="AQ17">
        <v>57</v>
      </c>
      <c r="AR17" t="s">
        <v>73</v>
      </c>
      <c r="AS17" t="s">
        <v>69</v>
      </c>
      <c r="AT17" t="s">
        <v>71</v>
      </c>
      <c r="AU17" t="s">
        <v>69</v>
      </c>
      <c r="AV17">
        <v>89.093999999999994</v>
      </c>
      <c r="AW17" t="s">
        <v>69</v>
      </c>
      <c r="AX17" t="s">
        <v>69</v>
      </c>
      <c r="AY17">
        <v>58</v>
      </c>
      <c r="AZ17" t="s">
        <v>249</v>
      </c>
      <c r="BA17" t="s">
        <v>69</v>
      </c>
      <c r="BB17" t="s">
        <v>117</v>
      </c>
      <c r="BC17" t="s">
        <v>69</v>
      </c>
      <c r="BD17">
        <v>121.154</v>
      </c>
      <c r="BE17" t="s">
        <v>69</v>
      </c>
      <c r="BF17" t="s">
        <v>69</v>
      </c>
      <c r="BG17">
        <v>89</v>
      </c>
      <c r="BH17" t="s">
        <v>73</v>
      </c>
      <c r="BI17" t="s">
        <v>153</v>
      </c>
      <c r="BJ17" t="s">
        <v>71</v>
      </c>
      <c r="BK17" t="s">
        <v>69</v>
      </c>
      <c r="BL17">
        <v>89.093999999999994</v>
      </c>
      <c r="BM17" t="s">
        <v>69</v>
      </c>
      <c r="BN17" t="s">
        <v>69</v>
      </c>
      <c r="BO17">
        <v>90</v>
      </c>
      <c r="BP17" t="s">
        <v>76</v>
      </c>
      <c r="BQ17" t="s">
        <v>153</v>
      </c>
      <c r="BR17" t="s">
        <v>75</v>
      </c>
      <c r="BS17" t="s">
        <v>153</v>
      </c>
      <c r="BT17">
        <v>146.18899999999999</v>
      </c>
      <c r="BU17" t="s">
        <v>69</v>
      </c>
      <c r="BV17" t="s">
        <v>69</v>
      </c>
      <c r="BW17">
        <v>92</v>
      </c>
      <c r="BX17" t="s">
        <v>119</v>
      </c>
      <c r="BY17" t="s">
        <v>153</v>
      </c>
      <c r="BZ17" t="s">
        <v>120</v>
      </c>
      <c r="CA17" t="s">
        <v>153</v>
      </c>
      <c r="CB17">
        <v>147.131</v>
      </c>
      <c r="CC17" t="s">
        <v>69</v>
      </c>
      <c r="CD17" t="s">
        <v>69</v>
      </c>
      <c r="CE17">
        <v>93</v>
      </c>
      <c r="CF17" t="s">
        <v>73</v>
      </c>
      <c r="CG17" t="s">
        <v>69</v>
      </c>
      <c r="CH17" t="s">
        <v>71</v>
      </c>
      <c r="CI17" t="s">
        <v>69</v>
      </c>
      <c r="CJ17">
        <v>89.093999999999994</v>
      </c>
      <c r="CK17" t="s">
        <v>69</v>
      </c>
      <c r="CL17" t="s">
        <v>69</v>
      </c>
      <c r="CM17">
        <v>94</v>
      </c>
      <c r="CN17" t="s">
        <v>73</v>
      </c>
      <c r="CO17" t="s">
        <v>69</v>
      </c>
      <c r="CP17" t="s">
        <v>71</v>
      </c>
      <c r="CQ17" t="s">
        <v>69</v>
      </c>
      <c r="CR17">
        <v>89.093999999999994</v>
      </c>
      <c r="CS17" t="s">
        <v>69</v>
      </c>
      <c r="CT17" t="s">
        <v>69</v>
      </c>
      <c r="CU17">
        <v>96</v>
      </c>
      <c r="CV17" t="s">
        <v>249</v>
      </c>
      <c r="CW17" t="s">
        <v>69</v>
      </c>
      <c r="CX17" t="s">
        <v>117</v>
      </c>
      <c r="CY17" t="s">
        <v>69</v>
      </c>
      <c r="CZ17">
        <v>121.154</v>
      </c>
      <c r="DA17" t="s">
        <v>69</v>
      </c>
      <c r="DB17" t="s">
        <v>69</v>
      </c>
      <c r="DC17">
        <v>97</v>
      </c>
      <c r="DD17" t="s">
        <v>153</v>
      </c>
      <c r="DE17" t="s">
        <v>69</v>
      </c>
      <c r="DF17" t="s">
        <v>148</v>
      </c>
      <c r="DG17" t="s">
        <v>69</v>
      </c>
      <c r="DH17">
        <v>132.119</v>
      </c>
      <c r="DI17" t="s">
        <v>69</v>
      </c>
      <c r="DJ17" t="s">
        <v>69</v>
      </c>
      <c r="DK17">
        <v>110</v>
      </c>
      <c r="DL17" t="s">
        <v>119</v>
      </c>
      <c r="DM17" t="s">
        <v>69</v>
      </c>
      <c r="DN17" t="s">
        <v>120</v>
      </c>
      <c r="DO17" t="s">
        <v>69</v>
      </c>
      <c r="DP17">
        <v>147.131</v>
      </c>
      <c r="DQ17" t="s">
        <v>69</v>
      </c>
      <c r="DR17" t="s">
        <v>69</v>
      </c>
      <c r="DS17">
        <v>111</v>
      </c>
      <c r="DT17" t="s">
        <v>76</v>
      </c>
      <c r="DU17" t="s">
        <v>69</v>
      </c>
      <c r="DV17" t="s">
        <v>75</v>
      </c>
      <c r="DW17" t="s">
        <v>69</v>
      </c>
      <c r="DX17">
        <v>146.18899999999999</v>
      </c>
      <c r="DY17" t="s">
        <v>69</v>
      </c>
      <c r="DZ17" t="s">
        <v>69</v>
      </c>
      <c r="EA17">
        <v>116</v>
      </c>
      <c r="EB17" t="s">
        <v>119</v>
      </c>
      <c r="EC17" t="s">
        <v>153</v>
      </c>
      <c r="ED17" t="s">
        <v>120</v>
      </c>
      <c r="EE17" t="s">
        <v>153</v>
      </c>
      <c r="EF17">
        <v>147.131</v>
      </c>
      <c r="EG17" t="s">
        <v>69</v>
      </c>
      <c r="EH17" t="s">
        <v>69</v>
      </c>
      <c r="EI17">
        <v>117</v>
      </c>
      <c r="EJ17" t="s">
        <v>147</v>
      </c>
      <c r="EK17" t="s">
        <v>153</v>
      </c>
      <c r="EL17" t="s">
        <v>148</v>
      </c>
      <c r="EM17" t="s">
        <v>153</v>
      </c>
      <c r="EN17">
        <v>146.14599999999999</v>
      </c>
      <c r="EO17" t="s">
        <v>153</v>
      </c>
      <c r="EP17" t="s">
        <v>153</v>
      </c>
      <c r="EQ17">
        <v>118</v>
      </c>
      <c r="ER17" t="s">
        <v>72</v>
      </c>
      <c r="ES17" t="s">
        <v>153</v>
      </c>
      <c r="ET17" t="s">
        <v>71</v>
      </c>
      <c r="EU17" t="s">
        <v>153</v>
      </c>
      <c r="EV17">
        <v>131.17500000000001</v>
      </c>
      <c r="EW17" t="s">
        <v>69</v>
      </c>
      <c r="EX17" t="s">
        <v>69</v>
      </c>
      <c r="EY17">
        <v>120</v>
      </c>
      <c r="EZ17" t="s">
        <v>70</v>
      </c>
      <c r="FA17" t="s">
        <v>153</v>
      </c>
      <c r="FB17" t="s">
        <v>71</v>
      </c>
      <c r="FC17" t="s">
        <v>153</v>
      </c>
      <c r="FD17">
        <v>75.066999999999993</v>
      </c>
      <c r="FE17" t="s">
        <v>153</v>
      </c>
      <c r="FF17" t="s">
        <v>153</v>
      </c>
      <c r="FG17">
        <v>121</v>
      </c>
      <c r="FH17" t="s">
        <v>74</v>
      </c>
      <c r="FI17" t="s">
        <v>153</v>
      </c>
      <c r="FJ17" t="s">
        <v>75</v>
      </c>
      <c r="FK17" t="s">
        <v>153</v>
      </c>
      <c r="FL17">
        <v>174.203</v>
      </c>
      <c r="FM17" t="s">
        <v>153</v>
      </c>
      <c r="FN17" t="s">
        <v>153</v>
      </c>
      <c r="FO17">
        <v>125</v>
      </c>
      <c r="FP17" t="s">
        <v>147</v>
      </c>
      <c r="FQ17" t="s">
        <v>153</v>
      </c>
      <c r="FR17" t="s">
        <v>148</v>
      </c>
      <c r="FS17" t="s">
        <v>153</v>
      </c>
      <c r="FT17">
        <v>146.14599999999999</v>
      </c>
      <c r="FU17" t="s">
        <v>69</v>
      </c>
      <c r="FV17" t="s">
        <v>69</v>
      </c>
    </row>
    <row r="18" spans="1:178" x14ac:dyDescent="0.25">
      <c r="A18">
        <v>7</v>
      </c>
      <c r="B18" t="str">
        <f>HYPERLINK("http://www.ncbi.nlm.nih.gov/protein/ELW67179.1","ELW67179.1")</f>
        <v>ELW67179.1</v>
      </c>
      <c r="C18">
        <v>59507</v>
      </c>
      <c r="D18" t="str">
        <f>HYPERLINK("http://www.ncbi.nlm.nih.gov/Taxonomy/Browser/wwwtax.cgi?mode=Info&amp;id=246437&amp;lvl=3&amp;lin=f&amp;keep=1&amp;srchmode=1&amp;unlock","246437")</f>
        <v>246437</v>
      </c>
      <c r="E18" t="s">
        <v>66</v>
      </c>
      <c r="F18" t="str">
        <f>HYPERLINK("http://www.ncbi.nlm.nih.gov/Taxonomy/Browser/wwwtax.cgi?mode=Info&amp;id=246437&amp;lvl=3&amp;lin=f&amp;keep=1&amp;srchmode=1&amp;unlock","Tupaia chinensis")</f>
        <v>Tupaia chinensis</v>
      </c>
      <c r="G18" t="s">
        <v>97</v>
      </c>
      <c r="H18" t="str">
        <f>HYPERLINK("http://www.ncbi.nlm.nih.gov/protein/ELW67179.1","Bone marrow stromal antigen 2")</f>
        <v>Bone marrow stromal antigen 2</v>
      </c>
      <c r="I18" t="s">
        <v>248</v>
      </c>
      <c r="J18" t="s">
        <v>153</v>
      </c>
      <c r="K18">
        <v>53</v>
      </c>
      <c r="L18" t="s">
        <v>73</v>
      </c>
      <c r="M18" t="s">
        <v>69</v>
      </c>
      <c r="N18" t="s">
        <v>71</v>
      </c>
      <c r="O18" t="s">
        <v>69</v>
      </c>
      <c r="P18">
        <v>89.093999999999994</v>
      </c>
      <c r="Q18" t="s">
        <v>69</v>
      </c>
      <c r="R18" t="s">
        <v>69</v>
      </c>
      <c r="S18">
        <v>54</v>
      </c>
      <c r="T18" t="s">
        <v>153</v>
      </c>
      <c r="U18" t="s">
        <v>69</v>
      </c>
      <c r="V18" t="s">
        <v>148</v>
      </c>
      <c r="W18" t="s">
        <v>69</v>
      </c>
      <c r="X18">
        <v>132.119</v>
      </c>
      <c r="Y18" t="s">
        <v>69</v>
      </c>
      <c r="Z18" t="s">
        <v>69</v>
      </c>
      <c r="AA18">
        <v>55</v>
      </c>
      <c r="AB18" t="s">
        <v>155</v>
      </c>
      <c r="AC18" t="s">
        <v>69</v>
      </c>
      <c r="AD18" t="s">
        <v>150</v>
      </c>
      <c r="AE18" t="s">
        <v>69</v>
      </c>
      <c r="AF18">
        <v>105.093</v>
      </c>
      <c r="AG18" t="s">
        <v>69</v>
      </c>
      <c r="AH18" t="s">
        <v>69</v>
      </c>
      <c r="AI18">
        <v>56</v>
      </c>
      <c r="AJ18" t="s">
        <v>119</v>
      </c>
      <c r="AK18" t="s">
        <v>69</v>
      </c>
      <c r="AL18" t="s">
        <v>120</v>
      </c>
      <c r="AM18" t="s">
        <v>69</v>
      </c>
      <c r="AN18">
        <v>147.131</v>
      </c>
      <c r="AO18" t="s">
        <v>69</v>
      </c>
      <c r="AP18" t="s">
        <v>69</v>
      </c>
      <c r="AQ18">
        <v>57</v>
      </c>
      <c r="AR18" t="s">
        <v>73</v>
      </c>
      <c r="AS18" t="s">
        <v>69</v>
      </c>
      <c r="AT18" t="s">
        <v>71</v>
      </c>
      <c r="AU18" t="s">
        <v>69</v>
      </c>
      <c r="AV18">
        <v>89.093999999999994</v>
      </c>
      <c r="AW18" t="s">
        <v>69</v>
      </c>
      <c r="AX18" t="s">
        <v>69</v>
      </c>
      <c r="AY18">
        <v>58</v>
      </c>
      <c r="AZ18" t="s">
        <v>249</v>
      </c>
      <c r="BA18" t="s">
        <v>69</v>
      </c>
      <c r="BB18" t="s">
        <v>117</v>
      </c>
      <c r="BC18" t="s">
        <v>69</v>
      </c>
      <c r="BD18">
        <v>121.154</v>
      </c>
      <c r="BE18" t="s">
        <v>69</v>
      </c>
      <c r="BF18" t="s">
        <v>69</v>
      </c>
      <c r="BG18">
        <v>89</v>
      </c>
      <c r="BH18" t="s">
        <v>73</v>
      </c>
      <c r="BI18" t="s">
        <v>153</v>
      </c>
      <c r="BJ18" t="s">
        <v>71</v>
      </c>
      <c r="BK18" t="s">
        <v>69</v>
      </c>
      <c r="BL18">
        <v>89.093999999999994</v>
      </c>
      <c r="BM18" t="s">
        <v>69</v>
      </c>
      <c r="BN18" t="s">
        <v>69</v>
      </c>
      <c r="BO18">
        <v>90</v>
      </c>
      <c r="BP18" t="s">
        <v>119</v>
      </c>
      <c r="BQ18" t="s">
        <v>69</v>
      </c>
      <c r="BR18" t="s">
        <v>120</v>
      </c>
      <c r="BS18" t="s">
        <v>69</v>
      </c>
      <c r="BT18">
        <v>147.131</v>
      </c>
      <c r="BU18" t="s">
        <v>69</v>
      </c>
      <c r="BV18" t="s">
        <v>69</v>
      </c>
      <c r="BW18">
        <v>92</v>
      </c>
      <c r="BX18" t="s">
        <v>147</v>
      </c>
      <c r="BY18" t="s">
        <v>69</v>
      </c>
      <c r="BZ18" t="s">
        <v>148</v>
      </c>
      <c r="CA18" t="s">
        <v>69</v>
      </c>
      <c r="CB18">
        <v>146.14599999999999</v>
      </c>
      <c r="CC18" t="s">
        <v>69</v>
      </c>
      <c r="CD18" t="s">
        <v>69</v>
      </c>
      <c r="CE18">
        <v>93</v>
      </c>
      <c r="CF18" t="s">
        <v>73</v>
      </c>
      <c r="CG18" t="s">
        <v>69</v>
      </c>
      <c r="CH18" t="s">
        <v>71</v>
      </c>
      <c r="CI18" t="s">
        <v>69</v>
      </c>
      <c r="CJ18">
        <v>89.093999999999994</v>
      </c>
      <c r="CK18" t="s">
        <v>69</v>
      </c>
      <c r="CL18" t="s">
        <v>69</v>
      </c>
      <c r="CM18">
        <v>94</v>
      </c>
      <c r="CN18" t="s">
        <v>73</v>
      </c>
      <c r="CO18" t="s">
        <v>69</v>
      </c>
      <c r="CP18" t="s">
        <v>71</v>
      </c>
      <c r="CQ18" t="s">
        <v>69</v>
      </c>
      <c r="CR18">
        <v>89.093999999999994</v>
      </c>
      <c r="CS18" t="s">
        <v>69</v>
      </c>
      <c r="CT18" t="s">
        <v>69</v>
      </c>
      <c r="CU18">
        <v>96</v>
      </c>
      <c r="CV18" t="s">
        <v>249</v>
      </c>
      <c r="CW18" t="s">
        <v>69</v>
      </c>
      <c r="CX18" t="s">
        <v>117</v>
      </c>
      <c r="CY18" t="s">
        <v>69</v>
      </c>
      <c r="CZ18">
        <v>121.154</v>
      </c>
      <c r="DA18" t="s">
        <v>69</v>
      </c>
      <c r="DB18" t="s">
        <v>69</v>
      </c>
      <c r="DC18">
        <v>97</v>
      </c>
      <c r="DD18" t="s">
        <v>153</v>
      </c>
      <c r="DE18" t="s">
        <v>69</v>
      </c>
      <c r="DF18" t="s">
        <v>148</v>
      </c>
      <c r="DG18" t="s">
        <v>69</v>
      </c>
      <c r="DH18">
        <v>132.119</v>
      </c>
      <c r="DI18" t="s">
        <v>69</v>
      </c>
      <c r="DJ18" t="s">
        <v>69</v>
      </c>
      <c r="DK18">
        <v>110</v>
      </c>
      <c r="DL18" t="s">
        <v>119</v>
      </c>
      <c r="DM18" t="s">
        <v>69</v>
      </c>
      <c r="DN18" t="s">
        <v>120</v>
      </c>
      <c r="DO18" t="s">
        <v>69</v>
      </c>
      <c r="DP18">
        <v>147.131</v>
      </c>
      <c r="DQ18" t="s">
        <v>69</v>
      </c>
      <c r="DR18" t="s">
        <v>69</v>
      </c>
      <c r="DS18">
        <v>111</v>
      </c>
      <c r="DT18" t="s">
        <v>76</v>
      </c>
      <c r="DU18" t="s">
        <v>69</v>
      </c>
      <c r="DV18" t="s">
        <v>75</v>
      </c>
      <c r="DW18" t="s">
        <v>69</v>
      </c>
      <c r="DX18">
        <v>146.18899999999999</v>
      </c>
      <c r="DY18" t="s">
        <v>69</v>
      </c>
      <c r="DZ18" t="s">
        <v>69</v>
      </c>
      <c r="EA18" t="s">
        <v>159</v>
      </c>
      <c r="EB18" t="s">
        <v>159</v>
      </c>
      <c r="EC18" t="s">
        <v>153</v>
      </c>
      <c r="ED18" t="s">
        <v>159</v>
      </c>
      <c r="EE18" t="s">
        <v>153</v>
      </c>
      <c r="EF18" t="s">
        <v>159</v>
      </c>
      <c r="EG18" t="s">
        <v>153</v>
      </c>
      <c r="EH18" t="s">
        <v>153</v>
      </c>
      <c r="EI18" t="s">
        <v>159</v>
      </c>
      <c r="EJ18" t="s">
        <v>159</v>
      </c>
      <c r="EK18" t="s">
        <v>153</v>
      </c>
      <c r="EL18" t="s">
        <v>159</v>
      </c>
      <c r="EM18" t="s">
        <v>153</v>
      </c>
      <c r="EN18" t="s">
        <v>159</v>
      </c>
      <c r="EO18" t="s">
        <v>153</v>
      </c>
      <c r="EP18" t="s">
        <v>153</v>
      </c>
      <c r="EQ18">
        <v>115</v>
      </c>
      <c r="ER18" t="s">
        <v>147</v>
      </c>
      <c r="ES18" t="s">
        <v>69</v>
      </c>
      <c r="ET18" t="s">
        <v>148</v>
      </c>
      <c r="EU18" t="s">
        <v>69</v>
      </c>
      <c r="EV18">
        <v>146.14599999999999</v>
      </c>
      <c r="EW18" t="s">
        <v>69</v>
      </c>
      <c r="EX18" t="s">
        <v>69</v>
      </c>
      <c r="EY18">
        <v>117</v>
      </c>
      <c r="EZ18" t="s">
        <v>74</v>
      </c>
      <c r="FA18" t="s">
        <v>153</v>
      </c>
      <c r="FB18" t="s">
        <v>75</v>
      </c>
      <c r="FC18" t="s">
        <v>69</v>
      </c>
      <c r="FD18">
        <v>174.203</v>
      </c>
      <c r="FE18" t="s">
        <v>69</v>
      </c>
      <c r="FF18" t="s">
        <v>69</v>
      </c>
      <c r="FG18">
        <v>118</v>
      </c>
      <c r="FH18" t="s">
        <v>119</v>
      </c>
      <c r="FI18" t="s">
        <v>153</v>
      </c>
      <c r="FJ18" t="s">
        <v>120</v>
      </c>
      <c r="FK18" t="s">
        <v>153</v>
      </c>
      <c r="FL18">
        <v>147.131</v>
      </c>
      <c r="FM18" t="s">
        <v>69</v>
      </c>
      <c r="FN18" t="s">
        <v>69</v>
      </c>
      <c r="FO18">
        <v>122</v>
      </c>
      <c r="FP18" t="s">
        <v>147</v>
      </c>
      <c r="FQ18" t="s">
        <v>153</v>
      </c>
      <c r="FR18" t="s">
        <v>148</v>
      </c>
      <c r="FS18" t="s">
        <v>153</v>
      </c>
      <c r="FT18">
        <v>146.14599999999999</v>
      </c>
      <c r="FU18" t="s">
        <v>69</v>
      </c>
      <c r="FV18" t="s">
        <v>69</v>
      </c>
    </row>
    <row r="19" spans="1:178" x14ac:dyDescent="0.25">
      <c r="A19">
        <v>7</v>
      </c>
      <c r="B19" t="str">
        <f>HYPERLINK("http://www.ncbi.nlm.nih.gov/protein/XP_006995988.1","XP_006995988.1")</f>
        <v>XP_006995988.1</v>
      </c>
      <c r="C19">
        <v>54287</v>
      </c>
      <c r="D19" t="str">
        <f>HYPERLINK("http://www.ncbi.nlm.nih.gov/Taxonomy/Browser/wwwtax.cgi?mode=Info&amp;id=230844&amp;lvl=3&amp;lin=f&amp;keep=1&amp;srchmode=1&amp;unlock","230844")</f>
        <v>230844</v>
      </c>
      <c r="E19" t="s">
        <v>66</v>
      </c>
      <c r="F19" t="str">
        <f>HYPERLINK("http://www.ncbi.nlm.nih.gov/Taxonomy/Browser/wwwtax.cgi?mode=Info&amp;id=230844&amp;lvl=3&amp;lin=f&amp;keep=1&amp;srchmode=1&amp;unlock","Peromyscus maniculatus bairdii")</f>
        <v>Peromyscus maniculatus bairdii</v>
      </c>
      <c r="G19" t="s">
        <v>88</v>
      </c>
      <c r="H19" t="str">
        <f>HYPERLINK("http://www.ncbi.nlm.nih.gov/protein/XP_006995988.1","bone marrow stromal antigen 2")</f>
        <v>bone marrow stromal antigen 2</v>
      </c>
      <c r="I19" t="s">
        <v>248</v>
      </c>
      <c r="J19" t="s">
        <v>153</v>
      </c>
      <c r="K19">
        <v>53</v>
      </c>
      <c r="L19" t="s">
        <v>73</v>
      </c>
      <c r="M19" t="s">
        <v>69</v>
      </c>
      <c r="N19" t="s">
        <v>71</v>
      </c>
      <c r="O19" t="s">
        <v>69</v>
      </c>
      <c r="P19">
        <v>89.093999999999994</v>
      </c>
      <c r="Q19" t="s">
        <v>69</v>
      </c>
      <c r="R19" t="s">
        <v>69</v>
      </c>
      <c r="S19">
        <v>54</v>
      </c>
      <c r="T19" t="s">
        <v>153</v>
      </c>
      <c r="U19" t="s">
        <v>69</v>
      </c>
      <c r="V19" t="s">
        <v>148</v>
      </c>
      <c r="W19" t="s">
        <v>69</v>
      </c>
      <c r="X19">
        <v>132.119</v>
      </c>
      <c r="Y19" t="s">
        <v>69</v>
      </c>
      <c r="Z19" t="s">
        <v>69</v>
      </c>
      <c r="AA19">
        <v>55</v>
      </c>
      <c r="AB19" t="s">
        <v>155</v>
      </c>
      <c r="AC19" t="s">
        <v>69</v>
      </c>
      <c r="AD19" t="s">
        <v>150</v>
      </c>
      <c r="AE19" t="s">
        <v>69</v>
      </c>
      <c r="AF19">
        <v>105.093</v>
      </c>
      <c r="AG19" t="s">
        <v>69</v>
      </c>
      <c r="AH19" t="s">
        <v>69</v>
      </c>
      <c r="AI19">
        <v>56</v>
      </c>
      <c r="AJ19" t="s">
        <v>119</v>
      </c>
      <c r="AK19" t="s">
        <v>69</v>
      </c>
      <c r="AL19" t="s">
        <v>120</v>
      </c>
      <c r="AM19" t="s">
        <v>69</v>
      </c>
      <c r="AN19">
        <v>147.131</v>
      </c>
      <c r="AO19" t="s">
        <v>69</v>
      </c>
      <c r="AP19" t="s">
        <v>69</v>
      </c>
      <c r="AQ19">
        <v>57</v>
      </c>
      <c r="AR19" t="s">
        <v>73</v>
      </c>
      <c r="AS19" t="s">
        <v>69</v>
      </c>
      <c r="AT19" t="s">
        <v>71</v>
      </c>
      <c r="AU19" t="s">
        <v>69</v>
      </c>
      <c r="AV19">
        <v>89.093999999999994</v>
      </c>
      <c r="AW19" t="s">
        <v>69</v>
      </c>
      <c r="AX19" t="s">
        <v>69</v>
      </c>
      <c r="AY19">
        <v>58</v>
      </c>
      <c r="AZ19" t="s">
        <v>249</v>
      </c>
      <c r="BA19" t="s">
        <v>69</v>
      </c>
      <c r="BB19" t="s">
        <v>117</v>
      </c>
      <c r="BC19" t="s">
        <v>69</v>
      </c>
      <c r="BD19">
        <v>121.154</v>
      </c>
      <c r="BE19" t="s">
        <v>69</v>
      </c>
      <c r="BF19" t="s">
        <v>69</v>
      </c>
      <c r="BG19">
        <v>89</v>
      </c>
      <c r="BH19" t="s">
        <v>73</v>
      </c>
      <c r="BI19" t="s">
        <v>153</v>
      </c>
      <c r="BJ19" t="s">
        <v>71</v>
      </c>
      <c r="BK19" t="s">
        <v>69</v>
      </c>
      <c r="BL19">
        <v>89.093999999999994</v>
      </c>
      <c r="BM19" t="s">
        <v>69</v>
      </c>
      <c r="BN19" t="s">
        <v>69</v>
      </c>
      <c r="BO19">
        <v>90</v>
      </c>
      <c r="BP19" t="s">
        <v>119</v>
      </c>
      <c r="BQ19" t="s">
        <v>69</v>
      </c>
      <c r="BR19" t="s">
        <v>120</v>
      </c>
      <c r="BS19" t="s">
        <v>69</v>
      </c>
      <c r="BT19">
        <v>147.131</v>
      </c>
      <c r="BU19" t="s">
        <v>69</v>
      </c>
      <c r="BV19" t="s">
        <v>69</v>
      </c>
      <c r="BW19">
        <v>92</v>
      </c>
      <c r="BX19" t="s">
        <v>147</v>
      </c>
      <c r="BY19" t="s">
        <v>69</v>
      </c>
      <c r="BZ19" t="s">
        <v>148</v>
      </c>
      <c r="CA19" t="s">
        <v>69</v>
      </c>
      <c r="CB19">
        <v>146.14599999999999</v>
      </c>
      <c r="CC19" t="s">
        <v>69</v>
      </c>
      <c r="CD19" t="s">
        <v>69</v>
      </c>
      <c r="CE19">
        <v>93</v>
      </c>
      <c r="CF19" t="s">
        <v>73</v>
      </c>
      <c r="CG19" t="s">
        <v>69</v>
      </c>
      <c r="CH19" t="s">
        <v>71</v>
      </c>
      <c r="CI19" t="s">
        <v>69</v>
      </c>
      <c r="CJ19">
        <v>89.093999999999994</v>
      </c>
      <c r="CK19" t="s">
        <v>69</v>
      </c>
      <c r="CL19" t="s">
        <v>69</v>
      </c>
      <c r="CM19">
        <v>94</v>
      </c>
      <c r="CN19" t="s">
        <v>153</v>
      </c>
      <c r="CO19" t="s">
        <v>153</v>
      </c>
      <c r="CP19" t="s">
        <v>148</v>
      </c>
      <c r="CQ19" t="s">
        <v>153</v>
      </c>
      <c r="CR19">
        <v>132.119</v>
      </c>
      <c r="CS19" t="s">
        <v>153</v>
      </c>
      <c r="CT19" t="s">
        <v>153</v>
      </c>
      <c r="CU19">
        <v>96</v>
      </c>
      <c r="CV19" t="s">
        <v>249</v>
      </c>
      <c r="CW19" t="s">
        <v>69</v>
      </c>
      <c r="CX19" t="s">
        <v>117</v>
      </c>
      <c r="CY19" t="s">
        <v>69</v>
      </c>
      <c r="CZ19">
        <v>121.154</v>
      </c>
      <c r="DA19" t="s">
        <v>69</v>
      </c>
      <c r="DB19" t="s">
        <v>69</v>
      </c>
      <c r="DC19">
        <v>97</v>
      </c>
      <c r="DD19" t="s">
        <v>153</v>
      </c>
      <c r="DE19" t="s">
        <v>69</v>
      </c>
      <c r="DF19" t="s">
        <v>148</v>
      </c>
      <c r="DG19" t="s">
        <v>69</v>
      </c>
      <c r="DH19">
        <v>132.119</v>
      </c>
      <c r="DI19" t="s">
        <v>69</v>
      </c>
      <c r="DJ19" t="s">
        <v>69</v>
      </c>
      <c r="DK19">
        <v>110</v>
      </c>
      <c r="DL19" t="s">
        <v>147</v>
      </c>
      <c r="DM19" t="s">
        <v>153</v>
      </c>
      <c r="DN19" t="s">
        <v>148</v>
      </c>
      <c r="DO19" t="s">
        <v>153</v>
      </c>
      <c r="DP19">
        <v>146.14599999999999</v>
      </c>
      <c r="DQ19" t="s">
        <v>69</v>
      </c>
      <c r="DR19" t="s">
        <v>69</v>
      </c>
      <c r="DS19">
        <v>111</v>
      </c>
      <c r="DT19" t="s">
        <v>115</v>
      </c>
      <c r="DU19" t="s">
        <v>153</v>
      </c>
      <c r="DV19" t="s">
        <v>71</v>
      </c>
      <c r="DW19" t="s">
        <v>153</v>
      </c>
      <c r="DX19">
        <v>117.148</v>
      </c>
      <c r="DY19" t="s">
        <v>69</v>
      </c>
      <c r="DZ19" t="s">
        <v>69</v>
      </c>
      <c r="EA19">
        <v>116</v>
      </c>
      <c r="EB19" t="s">
        <v>119</v>
      </c>
      <c r="EC19" t="s">
        <v>153</v>
      </c>
      <c r="ED19" t="s">
        <v>120</v>
      </c>
      <c r="EE19" t="s">
        <v>153</v>
      </c>
      <c r="EF19">
        <v>147.131</v>
      </c>
      <c r="EG19" t="s">
        <v>69</v>
      </c>
      <c r="EH19" t="s">
        <v>69</v>
      </c>
      <c r="EI19">
        <v>117</v>
      </c>
      <c r="EJ19" t="s">
        <v>147</v>
      </c>
      <c r="EK19" t="s">
        <v>153</v>
      </c>
      <c r="EL19" t="s">
        <v>148</v>
      </c>
      <c r="EM19" t="s">
        <v>153</v>
      </c>
      <c r="EN19">
        <v>146.14599999999999</v>
      </c>
      <c r="EO19" t="s">
        <v>153</v>
      </c>
      <c r="EP19" t="s">
        <v>153</v>
      </c>
      <c r="EQ19">
        <v>118</v>
      </c>
      <c r="ER19" t="s">
        <v>147</v>
      </c>
      <c r="ES19" t="s">
        <v>69</v>
      </c>
      <c r="ET19" t="s">
        <v>148</v>
      </c>
      <c r="EU19" t="s">
        <v>69</v>
      </c>
      <c r="EV19">
        <v>146.14599999999999</v>
      </c>
      <c r="EW19" t="s">
        <v>69</v>
      </c>
      <c r="EX19" t="s">
        <v>69</v>
      </c>
      <c r="EY19">
        <v>120</v>
      </c>
      <c r="EZ19" t="s">
        <v>74</v>
      </c>
      <c r="FA19" t="s">
        <v>153</v>
      </c>
      <c r="FB19" t="s">
        <v>75</v>
      </c>
      <c r="FC19" t="s">
        <v>69</v>
      </c>
      <c r="FD19">
        <v>174.203</v>
      </c>
      <c r="FE19" t="s">
        <v>69</v>
      </c>
      <c r="FF19" t="s">
        <v>69</v>
      </c>
      <c r="FG19" t="s">
        <v>159</v>
      </c>
      <c r="FH19" t="s">
        <v>159</v>
      </c>
      <c r="FI19" t="s">
        <v>153</v>
      </c>
      <c r="FJ19" t="s">
        <v>159</v>
      </c>
      <c r="FK19" t="s">
        <v>153</v>
      </c>
      <c r="FL19" t="s">
        <v>159</v>
      </c>
      <c r="FM19" t="s">
        <v>153</v>
      </c>
      <c r="FN19" t="s">
        <v>153</v>
      </c>
      <c r="FO19" t="s">
        <v>159</v>
      </c>
      <c r="FP19" t="s">
        <v>159</v>
      </c>
      <c r="FQ19" t="s">
        <v>153</v>
      </c>
      <c r="FR19" t="s">
        <v>159</v>
      </c>
      <c r="FS19" t="s">
        <v>153</v>
      </c>
      <c r="FT19" t="s">
        <v>159</v>
      </c>
      <c r="FU19" t="s">
        <v>153</v>
      </c>
      <c r="FV19" t="s">
        <v>153</v>
      </c>
    </row>
    <row r="20" spans="1:178" x14ac:dyDescent="0.25">
      <c r="A20">
        <v>7</v>
      </c>
      <c r="B20" t="str">
        <f>HYPERLINK("http://www.ncbi.nlm.nih.gov/protein/NP_932763.1","NP_932763.1")</f>
        <v>NP_932763.1</v>
      </c>
      <c r="C20">
        <v>337449</v>
      </c>
      <c r="D20" t="str">
        <f>HYPERLINK("http://www.ncbi.nlm.nih.gov/Taxonomy/Browser/wwwtax.cgi?mode=Info&amp;id=10090&amp;lvl=3&amp;lin=f&amp;keep=1&amp;srchmode=1&amp;unlock","10090")</f>
        <v>10090</v>
      </c>
      <c r="E20" t="s">
        <v>66</v>
      </c>
      <c r="F20" t="str">
        <f>HYPERLINK("http://www.ncbi.nlm.nih.gov/Taxonomy/Browser/wwwtax.cgi?mode=Info&amp;id=10090&amp;lvl=3&amp;lin=f&amp;keep=1&amp;srchmode=1&amp;unlock","Mus musculus")</f>
        <v>Mus musculus</v>
      </c>
      <c r="G20" t="s">
        <v>104</v>
      </c>
      <c r="H20" t="str">
        <f>HYPERLINK("http://www.ncbi.nlm.nih.gov/protein/NP_932763.1","bone marrow stromal antigen 2")</f>
        <v>bone marrow stromal antigen 2</v>
      </c>
      <c r="I20" t="s">
        <v>248</v>
      </c>
      <c r="J20" t="s">
        <v>153</v>
      </c>
      <c r="K20">
        <v>53</v>
      </c>
      <c r="L20" t="s">
        <v>73</v>
      </c>
      <c r="M20" t="s">
        <v>69</v>
      </c>
      <c r="N20" t="s">
        <v>71</v>
      </c>
      <c r="O20" t="s">
        <v>69</v>
      </c>
      <c r="P20">
        <v>89.093999999999994</v>
      </c>
      <c r="Q20" t="s">
        <v>69</v>
      </c>
      <c r="R20" t="s">
        <v>69</v>
      </c>
      <c r="S20">
        <v>54</v>
      </c>
      <c r="T20" t="s">
        <v>153</v>
      </c>
      <c r="U20" t="s">
        <v>69</v>
      </c>
      <c r="V20" t="s">
        <v>148</v>
      </c>
      <c r="W20" t="s">
        <v>69</v>
      </c>
      <c r="X20">
        <v>132.119</v>
      </c>
      <c r="Y20" t="s">
        <v>69</v>
      </c>
      <c r="Z20" t="s">
        <v>69</v>
      </c>
      <c r="AA20">
        <v>55</v>
      </c>
      <c r="AB20" t="s">
        <v>155</v>
      </c>
      <c r="AC20" t="s">
        <v>69</v>
      </c>
      <c r="AD20" t="s">
        <v>150</v>
      </c>
      <c r="AE20" t="s">
        <v>69</v>
      </c>
      <c r="AF20">
        <v>105.093</v>
      </c>
      <c r="AG20" t="s">
        <v>69</v>
      </c>
      <c r="AH20" t="s">
        <v>69</v>
      </c>
      <c r="AI20">
        <v>56</v>
      </c>
      <c r="AJ20" t="s">
        <v>115</v>
      </c>
      <c r="AK20" t="s">
        <v>153</v>
      </c>
      <c r="AL20" t="s">
        <v>71</v>
      </c>
      <c r="AM20" t="s">
        <v>153</v>
      </c>
      <c r="AN20">
        <v>117.148</v>
      </c>
      <c r="AO20" t="s">
        <v>69</v>
      </c>
      <c r="AP20" t="s">
        <v>69</v>
      </c>
      <c r="AQ20">
        <v>57</v>
      </c>
      <c r="AR20" t="s">
        <v>73</v>
      </c>
      <c r="AS20" t="s">
        <v>69</v>
      </c>
      <c r="AT20" t="s">
        <v>71</v>
      </c>
      <c r="AU20" t="s">
        <v>69</v>
      </c>
      <c r="AV20">
        <v>89.093999999999994</v>
      </c>
      <c r="AW20" t="s">
        <v>69</v>
      </c>
      <c r="AX20" t="s">
        <v>69</v>
      </c>
      <c r="AY20">
        <v>58</v>
      </c>
      <c r="AZ20" t="s">
        <v>249</v>
      </c>
      <c r="BA20" t="s">
        <v>69</v>
      </c>
      <c r="BB20" t="s">
        <v>117</v>
      </c>
      <c r="BC20" t="s">
        <v>69</v>
      </c>
      <c r="BD20">
        <v>121.154</v>
      </c>
      <c r="BE20" t="s">
        <v>69</v>
      </c>
      <c r="BF20" t="s">
        <v>69</v>
      </c>
      <c r="BG20">
        <v>89</v>
      </c>
      <c r="BH20" t="s">
        <v>73</v>
      </c>
      <c r="BI20" t="s">
        <v>153</v>
      </c>
      <c r="BJ20" t="s">
        <v>71</v>
      </c>
      <c r="BK20" t="s">
        <v>69</v>
      </c>
      <c r="BL20">
        <v>89.093999999999994</v>
      </c>
      <c r="BM20" t="s">
        <v>69</v>
      </c>
      <c r="BN20" t="s">
        <v>69</v>
      </c>
      <c r="BO20">
        <v>90</v>
      </c>
      <c r="BP20" t="s">
        <v>119</v>
      </c>
      <c r="BQ20" t="s">
        <v>69</v>
      </c>
      <c r="BR20" t="s">
        <v>120</v>
      </c>
      <c r="BS20" t="s">
        <v>69</v>
      </c>
      <c r="BT20">
        <v>147.131</v>
      </c>
      <c r="BU20" t="s">
        <v>69</v>
      </c>
      <c r="BV20" t="s">
        <v>69</v>
      </c>
      <c r="BW20">
        <v>92</v>
      </c>
      <c r="BX20" t="s">
        <v>147</v>
      </c>
      <c r="BY20" t="s">
        <v>69</v>
      </c>
      <c r="BZ20" t="s">
        <v>148</v>
      </c>
      <c r="CA20" t="s">
        <v>69</v>
      </c>
      <c r="CB20">
        <v>146.14599999999999</v>
      </c>
      <c r="CC20" t="s">
        <v>69</v>
      </c>
      <c r="CD20" t="s">
        <v>69</v>
      </c>
      <c r="CE20">
        <v>93</v>
      </c>
      <c r="CF20" t="s">
        <v>73</v>
      </c>
      <c r="CG20" t="s">
        <v>69</v>
      </c>
      <c r="CH20" t="s">
        <v>71</v>
      </c>
      <c r="CI20" t="s">
        <v>69</v>
      </c>
      <c r="CJ20">
        <v>89.093999999999994</v>
      </c>
      <c r="CK20" t="s">
        <v>69</v>
      </c>
      <c r="CL20" t="s">
        <v>69</v>
      </c>
      <c r="CM20">
        <v>94</v>
      </c>
      <c r="CN20" t="s">
        <v>153</v>
      </c>
      <c r="CO20" t="s">
        <v>153</v>
      </c>
      <c r="CP20" t="s">
        <v>148</v>
      </c>
      <c r="CQ20" t="s">
        <v>153</v>
      </c>
      <c r="CR20">
        <v>132.119</v>
      </c>
      <c r="CS20" t="s">
        <v>153</v>
      </c>
      <c r="CT20" t="s">
        <v>153</v>
      </c>
      <c r="CU20">
        <v>96</v>
      </c>
      <c r="CV20" t="s">
        <v>249</v>
      </c>
      <c r="CW20" t="s">
        <v>69</v>
      </c>
      <c r="CX20" t="s">
        <v>117</v>
      </c>
      <c r="CY20" t="s">
        <v>69</v>
      </c>
      <c r="CZ20">
        <v>121.154</v>
      </c>
      <c r="DA20" t="s">
        <v>69</v>
      </c>
      <c r="DB20" t="s">
        <v>69</v>
      </c>
      <c r="DC20">
        <v>97</v>
      </c>
      <c r="DD20" t="s">
        <v>153</v>
      </c>
      <c r="DE20" t="s">
        <v>69</v>
      </c>
      <c r="DF20" t="s">
        <v>148</v>
      </c>
      <c r="DG20" t="s">
        <v>69</v>
      </c>
      <c r="DH20">
        <v>132.119</v>
      </c>
      <c r="DI20" t="s">
        <v>69</v>
      </c>
      <c r="DJ20" t="s">
        <v>69</v>
      </c>
      <c r="DK20">
        <v>110</v>
      </c>
      <c r="DL20" t="s">
        <v>76</v>
      </c>
      <c r="DM20" t="s">
        <v>153</v>
      </c>
      <c r="DN20" t="s">
        <v>75</v>
      </c>
      <c r="DO20" t="s">
        <v>153</v>
      </c>
      <c r="DP20">
        <v>146.18899999999999</v>
      </c>
      <c r="DQ20" t="s">
        <v>69</v>
      </c>
      <c r="DR20" t="s">
        <v>69</v>
      </c>
      <c r="DS20">
        <v>111</v>
      </c>
      <c r="DT20" t="s">
        <v>115</v>
      </c>
      <c r="DU20" t="s">
        <v>153</v>
      </c>
      <c r="DV20" t="s">
        <v>71</v>
      </c>
      <c r="DW20" t="s">
        <v>153</v>
      </c>
      <c r="DX20">
        <v>117.148</v>
      </c>
      <c r="DY20" t="s">
        <v>69</v>
      </c>
      <c r="DZ20" t="s">
        <v>69</v>
      </c>
      <c r="EA20">
        <v>116</v>
      </c>
      <c r="EB20" t="s">
        <v>119</v>
      </c>
      <c r="EC20" t="s">
        <v>153</v>
      </c>
      <c r="ED20" t="s">
        <v>120</v>
      </c>
      <c r="EE20" t="s">
        <v>153</v>
      </c>
      <c r="EF20">
        <v>147.131</v>
      </c>
      <c r="EG20" t="s">
        <v>69</v>
      </c>
      <c r="EH20" t="s">
        <v>69</v>
      </c>
      <c r="EI20">
        <v>117</v>
      </c>
      <c r="EJ20" t="s">
        <v>147</v>
      </c>
      <c r="EK20" t="s">
        <v>153</v>
      </c>
      <c r="EL20" t="s">
        <v>148</v>
      </c>
      <c r="EM20" t="s">
        <v>153</v>
      </c>
      <c r="EN20">
        <v>146.14599999999999</v>
      </c>
      <c r="EO20" t="s">
        <v>153</v>
      </c>
      <c r="EP20" t="s">
        <v>153</v>
      </c>
      <c r="EQ20">
        <v>118</v>
      </c>
      <c r="ER20" t="s">
        <v>147</v>
      </c>
      <c r="ES20" t="s">
        <v>69</v>
      </c>
      <c r="ET20" t="s">
        <v>148</v>
      </c>
      <c r="EU20" t="s">
        <v>69</v>
      </c>
      <c r="EV20">
        <v>146.14599999999999</v>
      </c>
      <c r="EW20" t="s">
        <v>69</v>
      </c>
      <c r="EX20" t="s">
        <v>69</v>
      </c>
      <c r="EY20">
        <v>120</v>
      </c>
      <c r="EZ20" t="s">
        <v>74</v>
      </c>
      <c r="FA20" t="s">
        <v>153</v>
      </c>
      <c r="FB20" t="s">
        <v>75</v>
      </c>
      <c r="FC20" t="s">
        <v>69</v>
      </c>
      <c r="FD20">
        <v>174.203</v>
      </c>
      <c r="FE20" t="s">
        <v>69</v>
      </c>
      <c r="FF20" t="s">
        <v>69</v>
      </c>
      <c r="FG20" t="s">
        <v>159</v>
      </c>
      <c r="FH20" t="s">
        <v>159</v>
      </c>
      <c r="FI20" t="s">
        <v>153</v>
      </c>
      <c r="FJ20" t="s">
        <v>159</v>
      </c>
      <c r="FK20" t="s">
        <v>153</v>
      </c>
      <c r="FL20" t="s">
        <v>159</v>
      </c>
      <c r="FM20" t="s">
        <v>153</v>
      </c>
      <c r="FN20" t="s">
        <v>153</v>
      </c>
      <c r="FO20" t="s">
        <v>159</v>
      </c>
      <c r="FP20" t="s">
        <v>159</v>
      </c>
      <c r="FQ20" t="s">
        <v>153</v>
      </c>
      <c r="FR20" t="s">
        <v>159</v>
      </c>
      <c r="FS20" t="s">
        <v>153</v>
      </c>
      <c r="FT20" t="s">
        <v>159</v>
      </c>
      <c r="FU20" t="s">
        <v>153</v>
      </c>
      <c r="FV20" t="s">
        <v>153</v>
      </c>
    </row>
    <row r="21" spans="1:178" x14ac:dyDescent="0.25">
      <c r="A21">
        <v>7</v>
      </c>
      <c r="B21" t="str">
        <f>HYPERLINK("http://www.ncbi.nlm.nih.gov/protein/NP_001155227.1","NP_001155227.1")</f>
        <v>NP_001155227.1</v>
      </c>
      <c r="C21">
        <v>86952</v>
      </c>
      <c r="D21" t="str">
        <f>HYPERLINK("http://www.ncbi.nlm.nih.gov/Taxonomy/Browser/wwwtax.cgi?mode=Info&amp;id=9823&amp;lvl=3&amp;lin=f&amp;keep=1&amp;srchmode=1&amp;unlock","9823")</f>
        <v>9823</v>
      </c>
      <c r="E21" t="s">
        <v>66</v>
      </c>
      <c r="F21" t="str">
        <f>HYPERLINK("http://www.ncbi.nlm.nih.gov/Taxonomy/Browser/wwwtax.cgi?mode=Info&amp;id=9823&amp;lvl=3&amp;lin=f&amp;keep=1&amp;srchmode=1&amp;unlock","Sus scrofa")</f>
        <v>Sus scrofa</v>
      </c>
      <c r="G21" t="s">
        <v>85</v>
      </c>
      <c r="H21" t="str">
        <f>HYPERLINK("http://www.ncbi.nlm.nih.gov/protein/NP_001155227.1","bone marrow stromal antigen 2")</f>
        <v>bone marrow stromal antigen 2</v>
      </c>
      <c r="I21" t="s">
        <v>248</v>
      </c>
      <c r="J21" t="s">
        <v>153</v>
      </c>
      <c r="K21">
        <v>51</v>
      </c>
      <c r="L21" t="s">
        <v>73</v>
      </c>
      <c r="M21" t="s">
        <v>69</v>
      </c>
      <c r="N21" t="s">
        <v>71</v>
      </c>
      <c r="O21" t="s">
        <v>69</v>
      </c>
      <c r="P21">
        <v>89.093999999999994</v>
      </c>
      <c r="Q21" t="s">
        <v>69</v>
      </c>
      <c r="R21" t="s">
        <v>69</v>
      </c>
      <c r="S21">
        <v>52</v>
      </c>
      <c r="T21" t="s">
        <v>153</v>
      </c>
      <c r="U21" t="s">
        <v>69</v>
      </c>
      <c r="V21" t="s">
        <v>148</v>
      </c>
      <c r="W21" t="s">
        <v>69</v>
      </c>
      <c r="X21">
        <v>132.119</v>
      </c>
      <c r="Y21" t="s">
        <v>69</v>
      </c>
      <c r="Z21" t="s">
        <v>69</v>
      </c>
      <c r="AA21">
        <v>53</v>
      </c>
      <c r="AB21" t="s">
        <v>155</v>
      </c>
      <c r="AC21" t="s">
        <v>69</v>
      </c>
      <c r="AD21" t="s">
        <v>150</v>
      </c>
      <c r="AE21" t="s">
        <v>69</v>
      </c>
      <c r="AF21">
        <v>105.093</v>
      </c>
      <c r="AG21" t="s">
        <v>69</v>
      </c>
      <c r="AH21" t="s">
        <v>69</v>
      </c>
      <c r="AI21">
        <v>54</v>
      </c>
      <c r="AJ21" t="s">
        <v>76</v>
      </c>
      <c r="AK21" t="s">
        <v>153</v>
      </c>
      <c r="AL21" t="s">
        <v>75</v>
      </c>
      <c r="AM21" t="s">
        <v>153</v>
      </c>
      <c r="AN21">
        <v>146.18899999999999</v>
      </c>
      <c r="AO21" t="s">
        <v>69</v>
      </c>
      <c r="AP21" t="s">
        <v>69</v>
      </c>
      <c r="AQ21">
        <v>55</v>
      </c>
      <c r="AR21" t="s">
        <v>70</v>
      </c>
      <c r="AS21" t="s">
        <v>153</v>
      </c>
      <c r="AT21" t="s">
        <v>71</v>
      </c>
      <c r="AU21" t="s">
        <v>69</v>
      </c>
      <c r="AV21">
        <v>75.066999999999993</v>
      </c>
      <c r="AW21" t="s">
        <v>69</v>
      </c>
      <c r="AX21" t="s">
        <v>69</v>
      </c>
      <c r="AY21">
        <v>56</v>
      </c>
      <c r="AZ21" t="s">
        <v>249</v>
      </c>
      <c r="BA21" t="s">
        <v>69</v>
      </c>
      <c r="BB21" t="s">
        <v>117</v>
      </c>
      <c r="BC21" t="s">
        <v>69</v>
      </c>
      <c r="BD21">
        <v>121.154</v>
      </c>
      <c r="BE21" t="s">
        <v>69</v>
      </c>
      <c r="BF21" t="s">
        <v>69</v>
      </c>
      <c r="BG21">
        <v>87</v>
      </c>
      <c r="BH21" t="s">
        <v>149</v>
      </c>
      <c r="BI21" t="s">
        <v>153</v>
      </c>
      <c r="BJ21" t="s">
        <v>150</v>
      </c>
      <c r="BK21" t="s">
        <v>153</v>
      </c>
      <c r="BL21">
        <v>119.119</v>
      </c>
      <c r="BM21" t="s">
        <v>69</v>
      </c>
      <c r="BN21" t="s">
        <v>69</v>
      </c>
      <c r="BO21">
        <v>88</v>
      </c>
      <c r="BP21" t="s">
        <v>76</v>
      </c>
      <c r="BQ21" t="s">
        <v>153</v>
      </c>
      <c r="BR21" t="s">
        <v>75</v>
      </c>
      <c r="BS21" t="s">
        <v>153</v>
      </c>
      <c r="BT21">
        <v>146.18899999999999</v>
      </c>
      <c r="BU21" t="s">
        <v>69</v>
      </c>
      <c r="BV21" t="s">
        <v>69</v>
      </c>
      <c r="BW21">
        <v>90</v>
      </c>
      <c r="BX21" t="s">
        <v>147</v>
      </c>
      <c r="BY21" t="s">
        <v>69</v>
      </c>
      <c r="BZ21" t="s">
        <v>148</v>
      </c>
      <c r="CA21" t="s">
        <v>69</v>
      </c>
      <c r="CB21">
        <v>146.14599999999999</v>
      </c>
      <c r="CC21" t="s">
        <v>69</v>
      </c>
      <c r="CD21" t="s">
        <v>69</v>
      </c>
      <c r="CE21">
        <v>91</v>
      </c>
      <c r="CF21" t="s">
        <v>69</v>
      </c>
      <c r="CG21" t="s">
        <v>153</v>
      </c>
      <c r="CH21" t="s">
        <v>152</v>
      </c>
      <c r="CI21" t="s">
        <v>153</v>
      </c>
      <c r="CJ21">
        <v>181.191</v>
      </c>
      <c r="CK21" t="s">
        <v>153</v>
      </c>
      <c r="CL21" t="s">
        <v>153</v>
      </c>
      <c r="CM21">
        <v>92</v>
      </c>
      <c r="CN21" t="s">
        <v>149</v>
      </c>
      <c r="CO21" t="s">
        <v>153</v>
      </c>
      <c r="CP21" t="s">
        <v>150</v>
      </c>
      <c r="CQ21" t="s">
        <v>153</v>
      </c>
      <c r="CR21">
        <v>119.119</v>
      </c>
      <c r="CS21" t="s">
        <v>153</v>
      </c>
      <c r="CT21" t="s">
        <v>153</v>
      </c>
      <c r="CU21">
        <v>94</v>
      </c>
      <c r="CV21" t="s">
        <v>249</v>
      </c>
      <c r="CW21" t="s">
        <v>69</v>
      </c>
      <c r="CX21" t="s">
        <v>117</v>
      </c>
      <c r="CY21" t="s">
        <v>69</v>
      </c>
      <c r="CZ21">
        <v>121.154</v>
      </c>
      <c r="DA21" t="s">
        <v>69</v>
      </c>
      <c r="DB21" t="s">
        <v>69</v>
      </c>
      <c r="DC21">
        <v>95</v>
      </c>
      <c r="DD21" t="s">
        <v>153</v>
      </c>
      <c r="DE21" t="s">
        <v>69</v>
      </c>
      <c r="DF21" t="s">
        <v>148</v>
      </c>
      <c r="DG21" t="s">
        <v>69</v>
      </c>
      <c r="DH21">
        <v>132.119</v>
      </c>
      <c r="DI21" t="s">
        <v>69</v>
      </c>
      <c r="DJ21" t="s">
        <v>69</v>
      </c>
      <c r="DK21">
        <v>108</v>
      </c>
      <c r="DL21" t="s">
        <v>119</v>
      </c>
      <c r="DM21" t="s">
        <v>69</v>
      </c>
      <c r="DN21" t="s">
        <v>120</v>
      </c>
      <c r="DO21" t="s">
        <v>69</v>
      </c>
      <c r="DP21">
        <v>147.131</v>
      </c>
      <c r="DQ21" t="s">
        <v>69</v>
      </c>
      <c r="DR21" t="s">
        <v>69</v>
      </c>
      <c r="DS21">
        <v>109</v>
      </c>
      <c r="DT21" t="s">
        <v>76</v>
      </c>
      <c r="DU21" t="s">
        <v>69</v>
      </c>
      <c r="DV21" t="s">
        <v>75</v>
      </c>
      <c r="DW21" t="s">
        <v>69</v>
      </c>
      <c r="DX21">
        <v>146.18899999999999</v>
      </c>
      <c r="DY21" t="s">
        <v>69</v>
      </c>
      <c r="DZ21" t="s">
        <v>69</v>
      </c>
      <c r="EA21" t="s">
        <v>159</v>
      </c>
      <c r="EB21" t="s">
        <v>159</v>
      </c>
      <c r="EC21" t="s">
        <v>153</v>
      </c>
      <c r="ED21" t="s">
        <v>159</v>
      </c>
      <c r="EE21" t="s">
        <v>153</v>
      </c>
      <c r="EF21" t="s">
        <v>159</v>
      </c>
      <c r="EG21" t="s">
        <v>153</v>
      </c>
      <c r="EH21" t="s">
        <v>153</v>
      </c>
      <c r="EI21" t="s">
        <v>159</v>
      </c>
      <c r="EJ21" t="s">
        <v>159</v>
      </c>
      <c r="EK21" t="s">
        <v>153</v>
      </c>
      <c r="EL21" t="s">
        <v>159</v>
      </c>
      <c r="EM21" t="s">
        <v>153</v>
      </c>
      <c r="EN21" t="s">
        <v>159</v>
      </c>
      <c r="EO21" t="s">
        <v>153</v>
      </c>
      <c r="EP21" t="s">
        <v>153</v>
      </c>
      <c r="EQ21">
        <v>113</v>
      </c>
      <c r="ER21" t="s">
        <v>147</v>
      </c>
      <c r="ES21" t="s">
        <v>69</v>
      </c>
      <c r="ET21" t="s">
        <v>148</v>
      </c>
      <c r="EU21" t="s">
        <v>69</v>
      </c>
      <c r="EV21">
        <v>146.14599999999999</v>
      </c>
      <c r="EW21" t="s">
        <v>69</v>
      </c>
      <c r="EX21" t="s">
        <v>69</v>
      </c>
      <c r="EY21">
        <v>115</v>
      </c>
      <c r="EZ21" t="s">
        <v>147</v>
      </c>
      <c r="FA21" t="s">
        <v>153</v>
      </c>
      <c r="FB21" t="s">
        <v>148</v>
      </c>
      <c r="FC21" t="s">
        <v>153</v>
      </c>
      <c r="FD21">
        <v>146.14599999999999</v>
      </c>
      <c r="FE21" t="s">
        <v>69</v>
      </c>
      <c r="FF21" t="s">
        <v>69</v>
      </c>
      <c r="FG21">
        <v>116</v>
      </c>
      <c r="FH21" t="s">
        <v>72</v>
      </c>
      <c r="FI21" t="s">
        <v>153</v>
      </c>
      <c r="FJ21" t="s">
        <v>71</v>
      </c>
      <c r="FK21" t="s">
        <v>69</v>
      </c>
      <c r="FL21">
        <v>131.17500000000001</v>
      </c>
      <c r="FM21" t="s">
        <v>69</v>
      </c>
      <c r="FN21" t="s">
        <v>69</v>
      </c>
      <c r="FO21">
        <v>120</v>
      </c>
      <c r="FP21" t="s">
        <v>147</v>
      </c>
      <c r="FQ21" t="s">
        <v>153</v>
      </c>
      <c r="FR21" t="s">
        <v>148</v>
      </c>
      <c r="FS21" t="s">
        <v>153</v>
      </c>
      <c r="FT21">
        <v>146.14599999999999</v>
      </c>
      <c r="FU21" t="s">
        <v>69</v>
      </c>
      <c r="FV21" t="s">
        <v>69</v>
      </c>
    </row>
    <row r="22" spans="1:178" x14ac:dyDescent="0.25">
      <c r="A22">
        <v>7</v>
      </c>
      <c r="B22" t="str">
        <f>HYPERLINK("http://www.ncbi.nlm.nih.gov/protein/XP_017495583.2","XP_017495583.2")</f>
        <v>XP_017495583.2</v>
      </c>
      <c r="C22">
        <v>56064</v>
      </c>
      <c r="D22" t="str">
        <f>HYPERLINK("http://www.ncbi.nlm.nih.gov/Taxonomy/Browser/wwwtax.cgi?mode=Info&amp;id=9974&amp;lvl=3&amp;lin=f&amp;keep=1&amp;srchmode=1&amp;unlock","9974")</f>
        <v>9974</v>
      </c>
      <c r="E22" t="s">
        <v>66</v>
      </c>
      <c r="F22" t="str">
        <f>HYPERLINK("http://www.ncbi.nlm.nih.gov/Taxonomy/Browser/wwwtax.cgi?mode=Info&amp;id=9974&amp;lvl=3&amp;lin=f&amp;keep=1&amp;srchmode=1&amp;unlock","Manis javanica")</f>
        <v>Manis javanica</v>
      </c>
      <c r="G22" t="s">
        <v>100</v>
      </c>
      <c r="H22" t="str">
        <f>HYPERLINK("http://www.ncbi.nlm.nih.gov/protein/XP_017495583.2","bone marrow stromal antigen 2")</f>
        <v>bone marrow stromal antigen 2</v>
      </c>
      <c r="I22" t="s">
        <v>248</v>
      </c>
      <c r="J22" t="s">
        <v>153</v>
      </c>
      <c r="K22">
        <v>53</v>
      </c>
      <c r="L22" t="s">
        <v>73</v>
      </c>
      <c r="M22" t="s">
        <v>69</v>
      </c>
      <c r="N22" t="s">
        <v>71</v>
      </c>
      <c r="O22" t="s">
        <v>69</v>
      </c>
      <c r="P22">
        <v>89.093999999999994</v>
      </c>
      <c r="Q22" t="s">
        <v>69</v>
      </c>
      <c r="R22" t="s">
        <v>69</v>
      </c>
      <c r="S22">
        <v>54</v>
      </c>
      <c r="T22" t="s">
        <v>153</v>
      </c>
      <c r="U22" t="s">
        <v>69</v>
      </c>
      <c r="V22" t="s">
        <v>148</v>
      </c>
      <c r="W22" t="s">
        <v>69</v>
      </c>
      <c r="X22">
        <v>132.119</v>
      </c>
      <c r="Y22" t="s">
        <v>69</v>
      </c>
      <c r="Z22" t="s">
        <v>69</v>
      </c>
      <c r="AA22">
        <v>55</v>
      </c>
      <c r="AB22" t="s">
        <v>155</v>
      </c>
      <c r="AC22" t="s">
        <v>69</v>
      </c>
      <c r="AD22" t="s">
        <v>150</v>
      </c>
      <c r="AE22" t="s">
        <v>69</v>
      </c>
      <c r="AF22">
        <v>105.093</v>
      </c>
      <c r="AG22" t="s">
        <v>69</v>
      </c>
      <c r="AH22" t="s">
        <v>69</v>
      </c>
      <c r="AI22">
        <v>56</v>
      </c>
      <c r="AJ22" t="s">
        <v>119</v>
      </c>
      <c r="AK22" t="s">
        <v>69</v>
      </c>
      <c r="AL22" t="s">
        <v>120</v>
      </c>
      <c r="AM22" t="s">
        <v>69</v>
      </c>
      <c r="AN22">
        <v>147.131</v>
      </c>
      <c r="AO22" t="s">
        <v>69</v>
      </c>
      <c r="AP22" t="s">
        <v>69</v>
      </c>
      <c r="AQ22">
        <v>57</v>
      </c>
      <c r="AR22" t="s">
        <v>149</v>
      </c>
      <c r="AS22" t="s">
        <v>153</v>
      </c>
      <c r="AT22" t="s">
        <v>150</v>
      </c>
      <c r="AU22" t="s">
        <v>153</v>
      </c>
      <c r="AV22">
        <v>119.119</v>
      </c>
      <c r="AW22" t="s">
        <v>153</v>
      </c>
      <c r="AX22" t="s">
        <v>153</v>
      </c>
      <c r="AY22">
        <v>58</v>
      </c>
      <c r="AZ22" t="s">
        <v>249</v>
      </c>
      <c r="BA22" t="s">
        <v>69</v>
      </c>
      <c r="BB22" t="s">
        <v>117</v>
      </c>
      <c r="BC22" t="s">
        <v>69</v>
      </c>
      <c r="BD22">
        <v>121.154</v>
      </c>
      <c r="BE22" t="s">
        <v>69</v>
      </c>
      <c r="BF22" t="s">
        <v>69</v>
      </c>
      <c r="BG22">
        <v>89</v>
      </c>
      <c r="BH22" t="s">
        <v>145</v>
      </c>
      <c r="BI22" t="s">
        <v>153</v>
      </c>
      <c r="BJ22" t="s">
        <v>71</v>
      </c>
      <c r="BK22" t="s">
        <v>69</v>
      </c>
      <c r="BL22">
        <v>131.17500000000001</v>
      </c>
      <c r="BM22" t="s">
        <v>69</v>
      </c>
      <c r="BN22" t="s">
        <v>69</v>
      </c>
      <c r="BO22">
        <v>90</v>
      </c>
      <c r="BP22" t="s">
        <v>76</v>
      </c>
      <c r="BQ22" t="s">
        <v>153</v>
      </c>
      <c r="BR22" t="s">
        <v>75</v>
      </c>
      <c r="BS22" t="s">
        <v>153</v>
      </c>
      <c r="BT22">
        <v>146.18899999999999</v>
      </c>
      <c r="BU22" t="s">
        <v>69</v>
      </c>
      <c r="BV22" t="s">
        <v>69</v>
      </c>
      <c r="BW22">
        <v>92</v>
      </c>
      <c r="BX22" t="s">
        <v>147</v>
      </c>
      <c r="BY22" t="s">
        <v>69</v>
      </c>
      <c r="BZ22" t="s">
        <v>148</v>
      </c>
      <c r="CA22" t="s">
        <v>69</v>
      </c>
      <c r="CB22">
        <v>146.14599999999999</v>
      </c>
      <c r="CC22" t="s">
        <v>69</v>
      </c>
      <c r="CD22" t="s">
        <v>69</v>
      </c>
      <c r="CE22">
        <v>93</v>
      </c>
      <c r="CF22" t="s">
        <v>73</v>
      </c>
      <c r="CG22" t="s">
        <v>69</v>
      </c>
      <c r="CH22" t="s">
        <v>71</v>
      </c>
      <c r="CI22" t="s">
        <v>69</v>
      </c>
      <c r="CJ22">
        <v>89.093999999999994</v>
      </c>
      <c r="CK22" t="s">
        <v>69</v>
      </c>
      <c r="CL22" t="s">
        <v>69</v>
      </c>
      <c r="CM22">
        <v>94</v>
      </c>
      <c r="CN22" t="s">
        <v>73</v>
      </c>
      <c r="CO22" t="s">
        <v>69</v>
      </c>
      <c r="CP22" t="s">
        <v>71</v>
      </c>
      <c r="CQ22" t="s">
        <v>69</v>
      </c>
      <c r="CR22">
        <v>89.093999999999994</v>
      </c>
      <c r="CS22" t="s">
        <v>69</v>
      </c>
      <c r="CT22" t="s">
        <v>69</v>
      </c>
      <c r="CU22">
        <v>96</v>
      </c>
      <c r="CV22" t="s">
        <v>249</v>
      </c>
      <c r="CW22" t="s">
        <v>69</v>
      </c>
      <c r="CX22" t="s">
        <v>117</v>
      </c>
      <c r="CY22" t="s">
        <v>69</v>
      </c>
      <c r="CZ22">
        <v>121.154</v>
      </c>
      <c r="DA22" t="s">
        <v>69</v>
      </c>
      <c r="DB22" t="s">
        <v>69</v>
      </c>
      <c r="DC22">
        <v>97</v>
      </c>
      <c r="DD22" t="s">
        <v>153</v>
      </c>
      <c r="DE22" t="s">
        <v>69</v>
      </c>
      <c r="DF22" t="s">
        <v>148</v>
      </c>
      <c r="DG22" t="s">
        <v>69</v>
      </c>
      <c r="DH22">
        <v>132.119</v>
      </c>
      <c r="DI22" t="s">
        <v>69</v>
      </c>
      <c r="DJ22" t="s">
        <v>69</v>
      </c>
      <c r="DK22">
        <v>110</v>
      </c>
      <c r="DL22" t="s">
        <v>119</v>
      </c>
      <c r="DM22" t="s">
        <v>69</v>
      </c>
      <c r="DN22" t="s">
        <v>120</v>
      </c>
      <c r="DO22" t="s">
        <v>69</v>
      </c>
      <c r="DP22">
        <v>147.131</v>
      </c>
      <c r="DQ22" t="s">
        <v>69</v>
      </c>
      <c r="DR22" t="s">
        <v>69</v>
      </c>
      <c r="DS22">
        <v>111</v>
      </c>
      <c r="DT22" t="s">
        <v>76</v>
      </c>
      <c r="DU22" t="s">
        <v>69</v>
      </c>
      <c r="DV22" t="s">
        <v>75</v>
      </c>
      <c r="DW22" t="s">
        <v>69</v>
      </c>
      <c r="DX22">
        <v>146.18899999999999</v>
      </c>
      <c r="DY22" t="s">
        <v>69</v>
      </c>
      <c r="DZ22" t="s">
        <v>69</v>
      </c>
      <c r="EA22">
        <v>116</v>
      </c>
      <c r="EB22" t="s">
        <v>119</v>
      </c>
      <c r="EC22" t="s">
        <v>153</v>
      </c>
      <c r="ED22" t="s">
        <v>120</v>
      </c>
      <c r="EE22" t="s">
        <v>153</v>
      </c>
      <c r="EF22">
        <v>147.131</v>
      </c>
      <c r="EG22" t="s">
        <v>69</v>
      </c>
      <c r="EH22" t="s">
        <v>69</v>
      </c>
      <c r="EI22">
        <v>117</v>
      </c>
      <c r="EJ22" t="s">
        <v>76</v>
      </c>
      <c r="EK22" t="s">
        <v>153</v>
      </c>
      <c r="EL22" t="s">
        <v>75</v>
      </c>
      <c r="EM22" t="s">
        <v>153</v>
      </c>
      <c r="EN22">
        <v>146.18899999999999</v>
      </c>
      <c r="EO22" t="s">
        <v>153</v>
      </c>
      <c r="EP22" t="s">
        <v>153</v>
      </c>
      <c r="EQ22">
        <v>118</v>
      </c>
      <c r="ER22" t="s">
        <v>147</v>
      </c>
      <c r="ES22" t="s">
        <v>69</v>
      </c>
      <c r="ET22" t="s">
        <v>148</v>
      </c>
      <c r="EU22" t="s">
        <v>69</v>
      </c>
      <c r="EV22">
        <v>146.14599999999999</v>
      </c>
      <c r="EW22" t="s">
        <v>69</v>
      </c>
      <c r="EX22" t="s">
        <v>69</v>
      </c>
      <c r="EY22">
        <v>120</v>
      </c>
      <c r="EZ22" t="s">
        <v>147</v>
      </c>
      <c r="FA22" t="s">
        <v>153</v>
      </c>
      <c r="FB22" t="s">
        <v>148</v>
      </c>
      <c r="FC22" t="s">
        <v>153</v>
      </c>
      <c r="FD22">
        <v>146.14599999999999</v>
      </c>
      <c r="FE22" t="s">
        <v>69</v>
      </c>
      <c r="FF22" t="s">
        <v>69</v>
      </c>
      <c r="FG22">
        <v>121</v>
      </c>
      <c r="FH22" t="s">
        <v>115</v>
      </c>
      <c r="FI22" t="s">
        <v>69</v>
      </c>
      <c r="FJ22" t="s">
        <v>71</v>
      </c>
      <c r="FK22" t="s">
        <v>69</v>
      </c>
      <c r="FL22">
        <v>117.148</v>
      </c>
      <c r="FM22" t="s">
        <v>69</v>
      </c>
      <c r="FN22" t="s">
        <v>69</v>
      </c>
      <c r="FO22">
        <v>125</v>
      </c>
      <c r="FP22" t="s">
        <v>147</v>
      </c>
      <c r="FQ22" t="s">
        <v>153</v>
      </c>
      <c r="FR22" t="s">
        <v>148</v>
      </c>
      <c r="FS22" t="s">
        <v>153</v>
      </c>
      <c r="FT22">
        <v>146.14599999999999</v>
      </c>
      <c r="FU22" t="s">
        <v>69</v>
      </c>
      <c r="FV22" t="s">
        <v>69</v>
      </c>
    </row>
    <row r="23" spans="1:178" x14ac:dyDescent="0.25">
      <c r="A23">
        <v>7</v>
      </c>
      <c r="B23" t="str">
        <f>HYPERLINK("http://www.ncbi.nlm.nih.gov/protein/XP_002688623.4","XP_002688623.4")</f>
        <v>XP_002688623.4</v>
      </c>
      <c r="C23">
        <v>136186</v>
      </c>
      <c r="D23" t="str">
        <f>HYPERLINK("http://www.ncbi.nlm.nih.gov/Taxonomy/Browser/wwwtax.cgi?mode=Info&amp;id=9913&amp;lvl=3&amp;lin=f&amp;keep=1&amp;srchmode=1&amp;unlock","9913")</f>
        <v>9913</v>
      </c>
      <c r="E23" t="s">
        <v>66</v>
      </c>
      <c r="F23" t="str">
        <f>HYPERLINK("http://www.ncbi.nlm.nih.gov/Taxonomy/Browser/wwwtax.cgi?mode=Info&amp;id=9913&amp;lvl=3&amp;lin=f&amp;keep=1&amp;srchmode=1&amp;unlock","Bos taurus")</f>
        <v>Bos taurus</v>
      </c>
      <c r="G23" t="s">
        <v>82</v>
      </c>
      <c r="H23" t="str">
        <f>HYPERLINK("http://www.ncbi.nlm.nih.gov/protein/XP_002688623.4","bone marrow stromal antigen 2")</f>
        <v>bone marrow stromal antigen 2</v>
      </c>
      <c r="I23" t="s">
        <v>248</v>
      </c>
      <c r="J23" t="s">
        <v>153</v>
      </c>
      <c r="K23">
        <v>57</v>
      </c>
      <c r="L23" t="s">
        <v>73</v>
      </c>
      <c r="M23" t="s">
        <v>69</v>
      </c>
      <c r="N23" t="s">
        <v>71</v>
      </c>
      <c r="O23" t="s">
        <v>69</v>
      </c>
      <c r="P23">
        <v>89.093999999999994</v>
      </c>
      <c r="Q23" t="s">
        <v>69</v>
      </c>
      <c r="R23" t="s">
        <v>69</v>
      </c>
      <c r="S23">
        <v>58</v>
      </c>
      <c r="T23" t="s">
        <v>153</v>
      </c>
      <c r="U23" t="s">
        <v>69</v>
      </c>
      <c r="V23" t="s">
        <v>148</v>
      </c>
      <c r="W23" t="s">
        <v>69</v>
      </c>
      <c r="X23">
        <v>132.119</v>
      </c>
      <c r="Y23" t="s">
        <v>69</v>
      </c>
      <c r="Z23" t="s">
        <v>69</v>
      </c>
      <c r="AA23">
        <v>59</v>
      </c>
      <c r="AB23" t="s">
        <v>155</v>
      </c>
      <c r="AC23" t="s">
        <v>69</v>
      </c>
      <c r="AD23" t="s">
        <v>150</v>
      </c>
      <c r="AE23" t="s">
        <v>69</v>
      </c>
      <c r="AF23">
        <v>105.093</v>
      </c>
      <c r="AG23" t="s">
        <v>69</v>
      </c>
      <c r="AH23" t="s">
        <v>69</v>
      </c>
      <c r="AI23">
        <v>60</v>
      </c>
      <c r="AJ23" t="s">
        <v>76</v>
      </c>
      <c r="AK23" t="s">
        <v>153</v>
      </c>
      <c r="AL23" t="s">
        <v>75</v>
      </c>
      <c r="AM23" t="s">
        <v>153</v>
      </c>
      <c r="AN23">
        <v>146.18899999999999</v>
      </c>
      <c r="AO23" t="s">
        <v>69</v>
      </c>
      <c r="AP23" t="s">
        <v>69</v>
      </c>
      <c r="AQ23">
        <v>61</v>
      </c>
      <c r="AR23" t="s">
        <v>73</v>
      </c>
      <c r="AS23" t="s">
        <v>69</v>
      </c>
      <c r="AT23" t="s">
        <v>71</v>
      </c>
      <c r="AU23" t="s">
        <v>69</v>
      </c>
      <c r="AV23">
        <v>89.093999999999994</v>
      </c>
      <c r="AW23" t="s">
        <v>69</v>
      </c>
      <c r="AX23" t="s">
        <v>69</v>
      </c>
      <c r="AY23">
        <v>62</v>
      </c>
      <c r="AZ23" t="s">
        <v>249</v>
      </c>
      <c r="BA23" t="s">
        <v>69</v>
      </c>
      <c r="BB23" t="s">
        <v>117</v>
      </c>
      <c r="BC23" t="s">
        <v>69</v>
      </c>
      <c r="BD23">
        <v>121.154</v>
      </c>
      <c r="BE23" t="s">
        <v>69</v>
      </c>
      <c r="BF23" t="s">
        <v>69</v>
      </c>
      <c r="BG23">
        <v>93</v>
      </c>
      <c r="BH23" t="s">
        <v>76</v>
      </c>
      <c r="BI23" t="s">
        <v>153</v>
      </c>
      <c r="BJ23" t="s">
        <v>75</v>
      </c>
      <c r="BK23" t="s">
        <v>153</v>
      </c>
      <c r="BL23">
        <v>146.18899999999999</v>
      </c>
      <c r="BM23" t="s">
        <v>69</v>
      </c>
      <c r="BN23" t="s">
        <v>69</v>
      </c>
      <c r="BO23">
        <v>94</v>
      </c>
      <c r="BP23" t="s">
        <v>119</v>
      </c>
      <c r="BQ23" t="s">
        <v>69</v>
      </c>
      <c r="BR23" t="s">
        <v>120</v>
      </c>
      <c r="BS23" t="s">
        <v>69</v>
      </c>
      <c r="BT23">
        <v>147.131</v>
      </c>
      <c r="BU23" t="s">
        <v>69</v>
      </c>
      <c r="BV23" t="s">
        <v>69</v>
      </c>
      <c r="BW23">
        <v>96</v>
      </c>
      <c r="BX23" t="s">
        <v>119</v>
      </c>
      <c r="BY23" t="s">
        <v>153</v>
      </c>
      <c r="BZ23" t="s">
        <v>120</v>
      </c>
      <c r="CA23" t="s">
        <v>153</v>
      </c>
      <c r="CB23">
        <v>147.131</v>
      </c>
      <c r="CC23" t="s">
        <v>69</v>
      </c>
      <c r="CD23" t="s">
        <v>69</v>
      </c>
      <c r="CE23">
        <v>97</v>
      </c>
      <c r="CF23" t="s">
        <v>73</v>
      </c>
      <c r="CG23" t="s">
        <v>69</v>
      </c>
      <c r="CH23" t="s">
        <v>71</v>
      </c>
      <c r="CI23" t="s">
        <v>69</v>
      </c>
      <c r="CJ23">
        <v>89.093999999999994</v>
      </c>
      <c r="CK23" t="s">
        <v>69</v>
      </c>
      <c r="CL23" t="s">
        <v>69</v>
      </c>
      <c r="CM23">
        <v>98</v>
      </c>
      <c r="CN23" t="s">
        <v>73</v>
      </c>
      <c r="CO23" t="s">
        <v>69</v>
      </c>
      <c r="CP23" t="s">
        <v>71</v>
      </c>
      <c r="CQ23" t="s">
        <v>69</v>
      </c>
      <c r="CR23">
        <v>89.093999999999994</v>
      </c>
      <c r="CS23" t="s">
        <v>69</v>
      </c>
      <c r="CT23" t="s">
        <v>69</v>
      </c>
      <c r="CU23">
        <v>100</v>
      </c>
      <c r="CV23" t="s">
        <v>249</v>
      </c>
      <c r="CW23" t="s">
        <v>69</v>
      </c>
      <c r="CX23" t="s">
        <v>117</v>
      </c>
      <c r="CY23" t="s">
        <v>69</v>
      </c>
      <c r="CZ23">
        <v>121.154</v>
      </c>
      <c r="DA23" t="s">
        <v>69</v>
      </c>
      <c r="DB23" t="s">
        <v>69</v>
      </c>
      <c r="DC23">
        <v>101</v>
      </c>
      <c r="DD23" t="s">
        <v>153</v>
      </c>
      <c r="DE23" t="s">
        <v>69</v>
      </c>
      <c r="DF23" t="s">
        <v>148</v>
      </c>
      <c r="DG23" t="s">
        <v>69</v>
      </c>
      <c r="DH23">
        <v>132.119</v>
      </c>
      <c r="DI23" t="s">
        <v>69</v>
      </c>
      <c r="DJ23" t="s">
        <v>69</v>
      </c>
      <c r="DK23">
        <v>114</v>
      </c>
      <c r="DL23" t="s">
        <v>119</v>
      </c>
      <c r="DM23" t="s">
        <v>69</v>
      </c>
      <c r="DN23" t="s">
        <v>120</v>
      </c>
      <c r="DO23" t="s">
        <v>69</v>
      </c>
      <c r="DP23">
        <v>147.131</v>
      </c>
      <c r="DQ23" t="s">
        <v>69</v>
      </c>
      <c r="DR23" t="s">
        <v>69</v>
      </c>
      <c r="DS23">
        <v>115</v>
      </c>
      <c r="DT23" t="s">
        <v>147</v>
      </c>
      <c r="DU23" t="s">
        <v>153</v>
      </c>
      <c r="DV23" t="s">
        <v>148</v>
      </c>
      <c r="DW23" t="s">
        <v>153</v>
      </c>
      <c r="DX23">
        <v>146.14599999999999</v>
      </c>
      <c r="DY23" t="s">
        <v>69</v>
      </c>
      <c r="DZ23" t="s">
        <v>69</v>
      </c>
      <c r="EA23" t="s">
        <v>159</v>
      </c>
      <c r="EB23" t="s">
        <v>159</v>
      </c>
      <c r="EC23" t="s">
        <v>153</v>
      </c>
      <c r="ED23" t="s">
        <v>159</v>
      </c>
      <c r="EE23" t="s">
        <v>153</v>
      </c>
      <c r="EF23" t="s">
        <v>159</v>
      </c>
      <c r="EG23" t="s">
        <v>153</v>
      </c>
      <c r="EH23" t="s">
        <v>153</v>
      </c>
      <c r="EI23" t="s">
        <v>159</v>
      </c>
      <c r="EJ23" t="s">
        <v>159</v>
      </c>
      <c r="EK23" t="s">
        <v>153</v>
      </c>
      <c r="EL23" t="s">
        <v>159</v>
      </c>
      <c r="EM23" t="s">
        <v>153</v>
      </c>
      <c r="EN23" t="s">
        <v>159</v>
      </c>
      <c r="EO23" t="s">
        <v>153</v>
      </c>
      <c r="EP23" t="s">
        <v>153</v>
      </c>
      <c r="EQ23" t="s">
        <v>159</v>
      </c>
      <c r="ER23" t="s">
        <v>159</v>
      </c>
      <c r="ES23" t="s">
        <v>153</v>
      </c>
      <c r="ET23" t="s">
        <v>159</v>
      </c>
      <c r="EU23" t="s">
        <v>153</v>
      </c>
      <c r="EV23" t="s">
        <v>159</v>
      </c>
      <c r="EW23" t="s">
        <v>153</v>
      </c>
      <c r="EX23" t="s">
        <v>153</v>
      </c>
      <c r="EY23">
        <v>117</v>
      </c>
      <c r="EZ23" t="s">
        <v>147</v>
      </c>
      <c r="FA23" t="s">
        <v>153</v>
      </c>
      <c r="FB23" t="s">
        <v>148</v>
      </c>
      <c r="FC23" t="s">
        <v>153</v>
      </c>
      <c r="FD23">
        <v>146.14599999999999</v>
      </c>
      <c r="FE23" t="s">
        <v>69</v>
      </c>
      <c r="FF23" t="s">
        <v>69</v>
      </c>
      <c r="FG23">
        <v>118</v>
      </c>
      <c r="FH23" t="s">
        <v>115</v>
      </c>
      <c r="FI23" t="s">
        <v>69</v>
      </c>
      <c r="FJ23" t="s">
        <v>71</v>
      </c>
      <c r="FK23" t="s">
        <v>69</v>
      </c>
      <c r="FL23">
        <v>117.148</v>
      </c>
      <c r="FM23" t="s">
        <v>69</v>
      </c>
      <c r="FN23" t="s">
        <v>69</v>
      </c>
      <c r="FO23">
        <v>122</v>
      </c>
      <c r="FP23" t="s">
        <v>147</v>
      </c>
      <c r="FQ23" t="s">
        <v>153</v>
      </c>
      <c r="FR23" t="s">
        <v>148</v>
      </c>
      <c r="FS23" t="s">
        <v>153</v>
      </c>
      <c r="FT23">
        <v>146.14599999999999</v>
      </c>
      <c r="FU23" t="s">
        <v>69</v>
      </c>
      <c r="FV23" t="s">
        <v>69</v>
      </c>
    </row>
    <row r="24" spans="1:178" x14ac:dyDescent="0.25">
      <c r="A24">
        <v>7</v>
      </c>
      <c r="B24" t="str">
        <f>HYPERLINK("http://www.ncbi.nlm.nih.gov/protein/XP_044109896.1","XP_044109896.1")</f>
        <v>XP_044109896.1</v>
      </c>
      <c r="C24">
        <v>44640</v>
      </c>
      <c r="D24" t="str">
        <f>HYPERLINK("http://www.ncbi.nlm.nih.gov/Taxonomy/Browser/wwwtax.cgi?mode=Info&amp;id=452646&amp;lvl=3&amp;lin=f&amp;keep=1&amp;srchmode=1&amp;unlock","452646")</f>
        <v>452646</v>
      </c>
      <c r="E24" t="s">
        <v>66</v>
      </c>
      <c r="F24" t="str">
        <f>HYPERLINK("http://www.ncbi.nlm.nih.gov/Taxonomy/Browser/wwwtax.cgi?mode=Info&amp;id=452646&amp;lvl=3&amp;lin=f&amp;keep=1&amp;srchmode=1&amp;unlock","Neogale vison")</f>
        <v>Neogale vison</v>
      </c>
      <c r="G24" t="s">
        <v>96</v>
      </c>
      <c r="H24" t="str">
        <f>HYPERLINK("http://www.ncbi.nlm.nih.gov/protein/XP_044109896.1","bone marrow stromal antigen 2")</f>
        <v>bone marrow stromal antigen 2</v>
      </c>
      <c r="I24" t="s">
        <v>248</v>
      </c>
      <c r="J24" t="s">
        <v>153</v>
      </c>
      <c r="K24">
        <v>104</v>
      </c>
      <c r="L24" t="s">
        <v>73</v>
      </c>
      <c r="M24" t="s">
        <v>69</v>
      </c>
      <c r="N24" t="s">
        <v>71</v>
      </c>
      <c r="O24" t="s">
        <v>69</v>
      </c>
      <c r="P24">
        <v>89.093999999999994</v>
      </c>
      <c r="Q24" t="s">
        <v>69</v>
      </c>
      <c r="R24" t="s">
        <v>69</v>
      </c>
      <c r="S24">
        <v>105</v>
      </c>
      <c r="T24" t="s">
        <v>153</v>
      </c>
      <c r="U24" t="s">
        <v>69</v>
      </c>
      <c r="V24" t="s">
        <v>148</v>
      </c>
      <c r="W24" t="s">
        <v>69</v>
      </c>
      <c r="X24">
        <v>132.119</v>
      </c>
      <c r="Y24" t="s">
        <v>69</v>
      </c>
      <c r="Z24" t="s">
        <v>69</v>
      </c>
      <c r="AA24">
        <v>106</v>
      </c>
      <c r="AB24" t="s">
        <v>155</v>
      </c>
      <c r="AC24" t="s">
        <v>69</v>
      </c>
      <c r="AD24" t="s">
        <v>150</v>
      </c>
      <c r="AE24" t="s">
        <v>69</v>
      </c>
      <c r="AF24">
        <v>105.093</v>
      </c>
      <c r="AG24" t="s">
        <v>69</v>
      </c>
      <c r="AH24" t="s">
        <v>69</v>
      </c>
      <c r="AI24">
        <v>107</v>
      </c>
      <c r="AJ24" t="s">
        <v>76</v>
      </c>
      <c r="AK24" t="s">
        <v>153</v>
      </c>
      <c r="AL24" t="s">
        <v>75</v>
      </c>
      <c r="AM24" t="s">
        <v>153</v>
      </c>
      <c r="AN24">
        <v>146.18899999999999</v>
      </c>
      <c r="AO24" t="s">
        <v>69</v>
      </c>
      <c r="AP24" t="s">
        <v>69</v>
      </c>
      <c r="AQ24">
        <v>108</v>
      </c>
      <c r="AR24" t="s">
        <v>73</v>
      </c>
      <c r="AS24" t="s">
        <v>69</v>
      </c>
      <c r="AT24" t="s">
        <v>71</v>
      </c>
      <c r="AU24" t="s">
        <v>69</v>
      </c>
      <c r="AV24">
        <v>89.093999999999994</v>
      </c>
      <c r="AW24" t="s">
        <v>69</v>
      </c>
      <c r="AX24" t="s">
        <v>69</v>
      </c>
      <c r="AY24">
        <v>109</v>
      </c>
      <c r="AZ24" t="s">
        <v>249</v>
      </c>
      <c r="BA24" t="s">
        <v>69</v>
      </c>
      <c r="BB24" t="s">
        <v>117</v>
      </c>
      <c r="BC24" t="s">
        <v>69</v>
      </c>
      <c r="BD24">
        <v>121.154</v>
      </c>
      <c r="BE24" t="s">
        <v>69</v>
      </c>
      <c r="BF24" t="s">
        <v>69</v>
      </c>
      <c r="BG24">
        <v>140</v>
      </c>
      <c r="BH24" t="s">
        <v>73</v>
      </c>
      <c r="BI24" t="s">
        <v>153</v>
      </c>
      <c r="BJ24" t="s">
        <v>71</v>
      </c>
      <c r="BK24" t="s">
        <v>69</v>
      </c>
      <c r="BL24">
        <v>89.093999999999994</v>
      </c>
      <c r="BM24" t="s">
        <v>69</v>
      </c>
      <c r="BN24" t="s">
        <v>69</v>
      </c>
      <c r="BO24">
        <v>141</v>
      </c>
      <c r="BP24" t="s">
        <v>76</v>
      </c>
      <c r="BQ24" t="s">
        <v>153</v>
      </c>
      <c r="BR24" t="s">
        <v>75</v>
      </c>
      <c r="BS24" t="s">
        <v>153</v>
      </c>
      <c r="BT24">
        <v>146.18899999999999</v>
      </c>
      <c r="BU24" t="s">
        <v>69</v>
      </c>
      <c r="BV24" t="s">
        <v>69</v>
      </c>
      <c r="BW24">
        <v>143</v>
      </c>
      <c r="BX24" t="s">
        <v>119</v>
      </c>
      <c r="BY24" t="s">
        <v>153</v>
      </c>
      <c r="BZ24" t="s">
        <v>120</v>
      </c>
      <c r="CA24" t="s">
        <v>153</v>
      </c>
      <c r="CB24">
        <v>147.131</v>
      </c>
      <c r="CC24" t="s">
        <v>69</v>
      </c>
      <c r="CD24" t="s">
        <v>69</v>
      </c>
      <c r="CE24">
        <v>144</v>
      </c>
      <c r="CF24" t="s">
        <v>73</v>
      </c>
      <c r="CG24" t="s">
        <v>69</v>
      </c>
      <c r="CH24" t="s">
        <v>71</v>
      </c>
      <c r="CI24" t="s">
        <v>69</v>
      </c>
      <c r="CJ24">
        <v>89.093999999999994</v>
      </c>
      <c r="CK24" t="s">
        <v>69</v>
      </c>
      <c r="CL24" t="s">
        <v>69</v>
      </c>
      <c r="CM24">
        <v>145</v>
      </c>
      <c r="CN24" t="s">
        <v>73</v>
      </c>
      <c r="CO24" t="s">
        <v>69</v>
      </c>
      <c r="CP24" t="s">
        <v>71</v>
      </c>
      <c r="CQ24" t="s">
        <v>69</v>
      </c>
      <c r="CR24">
        <v>89.093999999999994</v>
      </c>
      <c r="CS24" t="s">
        <v>69</v>
      </c>
      <c r="CT24" t="s">
        <v>69</v>
      </c>
      <c r="CU24">
        <v>147</v>
      </c>
      <c r="CV24" t="s">
        <v>249</v>
      </c>
      <c r="CW24" t="s">
        <v>69</v>
      </c>
      <c r="CX24" t="s">
        <v>117</v>
      </c>
      <c r="CY24" t="s">
        <v>69</v>
      </c>
      <c r="CZ24">
        <v>121.154</v>
      </c>
      <c r="DA24" t="s">
        <v>69</v>
      </c>
      <c r="DB24" t="s">
        <v>69</v>
      </c>
      <c r="DC24">
        <v>148</v>
      </c>
      <c r="DD24" t="s">
        <v>153</v>
      </c>
      <c r="DE24" t="s">
        <v>69</v>
      </c>
      <c r="DF24" t="s">
        <v>148</v>
      </c>
      <c r="DG24" t="s">
        <v>69</v>
      </c>
      <c r="DH24">
        <v>132.119</v>
      </c>
      <c r="DI24" t="s">
        <v>69</v>
      </c>
      <c r="DJ24" t="s">
        <v>69</v>
      </c>
      <c r="DK24">
        <v>161</v>
      </c>
      <c r="DL24" t="s">
        <v>119</v>
      </c>
      <c r="DM24" t="s">
        <v>69</v>
      </c>
      <c r="DN24" t="s">
        <v>120</v>
      </c>
      <c r="DO24" t="s">
        <v>69</v>
      </c>
      <c r="DP24">
        <v>147.131</v>
      </c>
      <c r="DQ24" t="s">
        <v>69</v>
      </c>
      <c r="DR24" t="s">
        <v>69</v>
      </c>
      <c r="DS24">
        <v>162</v>
      </c>
      <c r="DT24" t="s">
        <v>76</v>
      </c>
      <c r="DU24" t="s">
        <v>69</v>
      </c>
      <c r="DV24" t="s">
        <v>75</v>
      </c>
      <c r="DW24" t="s">
        <v>69</v>
      </c>
      <c r="DX24">
        <v>146.18899999999999</v>
      </c>
      <c r="DY24" t="s">
        <v>69</v>
      </c>
      <c r="DZ24" t="s">
        <v>69</v>
      </c>
      <c r="EA24">
        <v>167</v>
      </c>
      <c r="EB24" t="s">
        <v>119</v>
      </c>
      <c r="EC24" t="s">
        <v>153</v>
      </c>
      <c r="ED24" t="s">
        <v>120</v>
      </c>
      <c r="EE24" t="s">
        <v>153</v>
      </c>
      <c r="EF24">
        <v>147.131</v>
      </c>
      <c r="EG24" t="s">
        <v>69</v>
      </c>
      <c r="EH24" t="s">
        <v>69</v>
      </c>
      <c r="EI24">
        <v>168</v>
      </c>
      <c r="EJ24" t="s">
        <v>147</v>
      </c>
      <c r="EK24" t="s">
        <v>153</v>
      </c>
      <c r="EL24" t="s">
        <v>148</v>
      </c>
      <c r="EM24" t="s">
        <v>153</v>
      </c>
      <c r="EN24">
        <v>146.14599999999999</v>
      </c>
      <c r="EO24" t="s">
        <v>153</v>
      </c>
      <c r="EP24" t="s">
        <v>153</v>
      </c>
      <c r="EQ24">
        <v>169</v>
      </c>
      <c r="ER24" t="s">
        <v>72</v>
      </c>
      <c r="ES24" t="s">
        <v>153</v>
      </c>
      <c r="ET24" t="s">
        <v>71</v>
      </c>
      <c r="EU24" t="s">
        <v>153</v>
      </c>
      <c r="EV24">
        <v>131.17500000000001</v>
      </c>
      <c r="EW24" t="s">
        <v>69</v>
      </c>
      <c r="EX24" t="s">
        <v>69</v>
      </c>
      <c r="EY24">
        <v>171</v>
      </c>
      <c r="EZ24" t="s">
        <v>74</v>
      </c>
      <c r="FA24" t="s">
        <v>153</v>
      </c>
      <c r="FB24" t="s">
        <v>75</v>
      </c>
      <c r="FC24" t="s">
        <v>69</v>
      </c>
      <c r="FD24">
        <v>174.203</v>
      </c>
      <c r="FE24" t="s">
        <v>69</v>
      </c>
      <c r="FF24" t="s">
        <v>69</v>
      </c>
      <c r="FG24">
        <v>172</v>
      </c>
      <c r="FH24" t="s">
        <v>74</v>
      </c>
      <c r="FI24" t="s">
        <v>153</v>
      </c>
      <c r="FJ24" t="s">
        <v>75</v>
      </c>
      <c r="FK24" t="s">
        <v>153</v>
      </c>
      <c r="FL24">
        <v>174.203</v>
      </c>
      <c r="FM24" t="s">
        <v>153</v>
      </c>
      <c r="FN24" t="s">
        <v>153</v>
      </c>
      <c r="FO24">
        <v>176</v>
      </c>
      <c r="FP24" t="s">
        <v>147</v>
      </c>
      <c r="FQ24" t="s">
        <v>153</v>
      </c>
      <c r="FR24" t="s">
        <v>148</v>
      </c>
      <c r="FS24" t="s">
        <v>153</v>
      </c>
      <c r="FT24">
        <v>146.14599999999999</v>
      </c>
      <c r="FU24" t="s">
        <v>69</v>
      </c>
      <c r="FV24" t="s">
        <v>69</v>
      </c>
    </row>
    <row r="25" spans="1:178" x14ac:dyDescent="0.25">
      <c r="A25">
        <v>7</v>
      </c>
      <c r="B25" t="str">
        <f>HYPERLINK("http://www.ncbi.nlm.nih.gov/protein/XP_045845831.1","XP_045845831.1")</f>
        <v>XP_045845831.1</v>
      </c>
      <c r="C25">
        <v>50752</v>
      </c>
      <c r="D25" t="str">
        <f>HYPERLINK("http://www.ncbi.nlm.nih.gov/Taxonomy/Browser/wwwtax.cgi?mode=Info&amp;id=9662&amp;lvl=3&amp;lin=f&amp;keep=1&amp;srchmode=1&amp;unlock","9662")</f>
        <v>9662</v>
      </c>
      <c r="E25" t="s">
        <v>66</v>
      </c>
      <c r="F25" t="str">
        <f>HYPERLINK("http://www.ncbi.nlm.nih.gov/Taxonomy/Browser/wwwtax.cgi?mode=Info&amp;id=9662&amp;lvl=3&amp;lin=f&amp;keep=1&amp;srchmode=1&amp;unlock","Meles meles")</f>
        <v>Meles meles</v>
      </c>
      <c r="G25" t="s">
        <v>99</v>
      </c>
      <c r="H25" t="str">
        <f>HYPERLINK("http://www.ncbi.nlm.nih.gov/protein/XP_045845831.1","bone marrow stromal antigen 2")</f>
        <v>bone marrow stromal antigen 2</v>
      </c>
      <c r="I25" t="s">
        <v>248</v>
      </c>
      <c r="J25" t="s">
        <v>153</v>
      </c>
      <c r="K25">
        <v>53</v>
      </c>
      <c r="L25" t="s">
        <v>73</v>
      </c>
      <c r="M25" t="s">
        <v>69</v>
      </c>
      <c r="N25" t="s">
        <v>71</v>
      </c>
      <c r="O25" t="s">
        <v>69</v>
      </c>
      <c r="P25">
        <v>89.093999999999994</v>
      </c>
      <c r="Q25" t="s">
        <v>69</v>
      </c>
      <c r="R25" t="s">
        <v>69</v>
      </c>
      <c r="S25">
        <v>54</v>
      </c>
      <c r="T25" t="s">
        <v>153</v>
      </c>
      <c r="U25" t="s">
        <v>69</v>
      </c>
      <c r="V25" t="s">
        <v>148</v>
      </c>
      <c r="W25" t="s">
        <v>69</v>
      </c>
      <c r="X25">
        <v>132.119</v>
      </c>
      <c r="Y25" t="s">
        <v>69</v>
      </c>
      <c r="Z25" t="s">
        <v>69</v>
      </c>
      <c r="AA25">
        <v>55</v>
      </c>
      <c r="AB25" t="s">
        <v>155</v>
      </c>
      <c r="AC25" t="s">
        <v>69</v>
      </c>
      <c r="AD25" t="s">
        <v>150</v>
      </c>
      <c r="AE25" t="s">
        <v>69</v>
      </c>
      <c r="AF25">
        <v>105.093</v>
      </c>
      <c r="AG25" t="s">
        <v>69</v>
      </c>
      <c r="AH25" t="s">
        <v>69</v>
      </c>
      <c r="AI25">
        <v>56</v>
      </c>
      <c r="AJ25" t="s">
        <v>76</v>
      </c>
      <c r="AK25" t="s">
        <v>153</v>
      </c>
      <c r="AL25" t="s">
        <v>75</v>
      </c>
      <c r="AM25" t="s">
        <v>153</v>
      </c>
      <c r="AN25">
        <v>146.18899999999999</v>
      </c>
      <c r="AO25" t="s">
        <v>69</v>
      </c>
      <c r="AP25" t="s">
        <v>69</v>
      </c>
      <c r="AQ25">
        <v>57</v>
      </c>
      <c r="AR25" t="s">
        <v>73</v>
      </c>
      <c r="AS25" t="s">
        <v>69</v>
      </c>
      <c r="AT25" t="s">
        <v>71</v>
      </c>
      <c r="AU25" t="s">
        <v>69</v>
      </c>
      <c r="AV25">
        <v>89.093999999999994</v>
      </c>
      <c r="AW25" t="s">
        <v>69</v>
      </c>
      <c r="AX25" t="s">
        <v>69</v>
      </c>
      <c r="AY25">
        <v>58</v>
      </c>
      <c r="AZ25" t="s">
        <v>249</v>
      </c>
      <c r="BA25" t="s">
        <v>69</v>
      </c>
      <c r="BB25" t="s">
        <v>117</v>
      </c>
      <c r="BC25" t="s">
        <v>69</v>
      </c>
      <c r="BD25">
        <v>121.154</v>
      </c>
      <c r="BE25" t="s">
        <v>69</v>
      </c>
      <c r="BF25" t="s">
        <v>69</v>
      </c>
      <c r="BG25">
        <v>89</v>
      </c>
      <c r="BH25" t="s">
        <v>73</v>
      </c>
      <c r="BI25" t="s">
        <v>153</v>
      </c>
      <c r="BJ25" t="s">
        <v>71</v>
      </c>
      <c r="BK25" t="s">
        <v>69</v>
      </c>
      <c r="BL25">
        <v>89.093999999999994</v>
      </c>
      <c r="BM25" t="s">
        <v>69</v>
      </c>
      <c r="BN25" t="s">
        <v>69</v>
      </c>
      <c r="BO25">
        <v>90</v>
      </c>
      <c r="BP25" t="s">
        <v>116</v>
      </c>
      <c r="BQ25" t="s">
        <v>153</v>
      </c>
      <c r="BR25" t="s">
        <v>117</v>
      </c>
      <c r="BS25" t="s">
        <v>153</v>
      </c>
      <c r="BT25">
        <v>149.208</v>
      </c>
      <c r="BU25" t="s">
        <v>69</v>
      </c>
      <c r="BV25" t="s">
        <v>69</v>
      </c>
      <c r="BW25">
        <v>92</v>
      </c>
      <c r="BX25" t="s">
        <v>119</v>
      </c>
      <c r="BY25" t="s">
        <v>153</v>
      </c>
      <c r="BZ25" t="s">
        <v>120</v>
      </c>
      <c r="CA25" t="s">
        <v>153</v>
      </c>
      <c r="CB25">
        <v>147.131</v>
      </c>
      <c r="CC25" t="s">
        <v>69</v>
      </c>
      <c r="CD25" t="s">
        <v>69</v>
      </c>
      <c r="CE25">
        <v>93</v>
      </c>
      <c r="CF25" t="s">
        <v>73</v>
      </c>
      <c r="CG25" t="s">
        <v>69</v>
      </c>
      <c r="CH25" t="s">
        <v>71</v>
      </c>
      <c r="CI25" t="s">
        <v>69</v>
      </c>
      <c r="CJ25">
        <v>89.093999999999994</v>
      </c>
      <c r="CK25" t="s">
        <v>69</v>
      </c>
      <c r="CL25" t="s">
        <v>69</v>
      </c>
      <c r="CM25">
        <v>94</v>
      </c>
      <c r="CN25" t="s">
        <v>73</v>
      </c>
      <c r="CO25" t="s">
        <v>69</v>
      </c>
      <c r="CP25" t="s">
        <v>71</v>
      </c>
      <c r="CQ25" t="s">
        <v>69</v>
      </c>
      <c r="CR25">
        <v>89.093999999999994</v>
      </c>
      <c r="CS25" t="s">
        <v>69</v>
      </c>
      <c r="CT25" t="s">
        <v>69</v>
      </c>
      <c r="CU25">
        <v>96</v>
      </c>
      <c r="CV25" t="s">
        <v>249</v>
      </c>
      <c r="CW25" t="s">
        <v>69</v>
      </c>
      <c r="CX25" t="s">
        <v>117</v>
      </c>
      <c r="CY25" t="s">
        <v>69</v>
      </c>
      <c r="CZ25">
        <v>121.154</v>
      </c>
      <c r="DA25" t="s">
        <v>69</v>
      </c>
      <c r="DB25" t="s">
        <v>69</v>
      </c>
      <c r="DC25">
        <v>97</v>
      </c>
      <c r="DD25" t="s">
        <v>153</v>
      </c>
      <c r="DE25" t="s">
        <v>69</v>
      </c>
      <c r="DF25" t="s">
        <v>148</v>
      </c>
      <c r="DG25" t="s">
        <v>69</v>
      </c>
      <c r="DH25">
        <v>132.119</v>
      </c>
      <c r="DI25" t="s">
        <v>69</v>
      </c>
      <c r="DJ25" t="s">
        <v>69</v>
      </c>
      <c r="DK25">
        <v>110</v>
      </c>
      <c r="DL25" t="s">
        <v>119</v>
      </c>
      <c r="DM25" t="s">
        <v>69</v>
      </c>
      <c r="DN25" t="s">
        <v>120</v>
      </c>
      <c r="DO25" t="s">
        <v>69</v>
      </c>
      <c r="DP25">
        <v>147.131</v>
      </c>
      <c r="DQ25" t="s">
        <v>69</v>
      </c>
      <c r="DR25" t="s">
        <v>69</v>
      </c>
      <c r="DS25">
        <v>111</v>
      </c>
      <c r="DT25" t="s">
        <v>76</v>
      </c>
      <c r="DU25" t="s">
        <v>69</v>
      </c>
      <c r="DV25" t="s">
        <v>75</v>
      </c>
      <c r="DW25" t="s">
        <v>69</v>
      </c>
      <c r="DX25">
        <v>146.18899999999999</v>
      </c>
      <c r="DY25" t="s">
        <v>69</v>
      </c>
      <c r="DZ25" t="s">
        <v>69</v>
      </c>
      <c r="EA25">
        <v>116</v>
      </c>
      <c r="EB25" t="s">
        <v>119</v>
      </c>
      <c r="EC25" t="s">
        <v>153</v>
      </c>
      <c r="ED25" t="s">
        <v>120</v>
      </c>
      <c r="EE25" t="s">
        <v>153</v>
      </c>
      <c r="EF25">
        <v>147.131</v>
      </c>
      <c r="EG25" t="s">
        <v>69</v>
      </c>
      <c r="EH25" t="s">
        <v>69</v>
      </c>
      <c r="EI25">
        <v>117</v>
      </c>
      <c r="EJ25" t="s">
        <v>157</v>
      </c>
      <c r="EK25" t="s">
        <v>153</v>
      </c>
      <c r="EL25" t="s">
        <v>75</v>
      </c>
      <c r="EM25" t="s">
        <v>153</v>
      </c>
      <c r="EN25">
        <v>155.15600000000001</v>
      </c>
      <c r="EO25" t="s">
        <v>153</v>
      </c>
      <c r="EP25" t="s">
        <v>153</v>
      </c>
      <c r="EQ25">
        <v>118</v>
      </c>
      <c r="ER25" t="s">
        <v>72</v>
      </c>
      <c r="ES25" t="s">
        <v>153</v>
      </c>
      <c r="ET25" t="s">
        <v>71</v>
      </c>
      <c r="EU25" t="s">
        <v>153</v>
      </c>
      <c r="EV25">
        <v>131.17500000000001</v>
      </c>
      <c r="EW25" t="s">
        <v>69</v>
      </c>
      <c r="EX25" t="s">
        <v>69</v>
      </c>
      <c r="EY25">
        <v>120</v>
      </c>
      <c r="EZ25" t="s">
        <v>74</v>
      </c>
      <c r="FA25" t="s">
        <v>153</v>
      </c>
      <c r="FB25" t="s">
        <v>75</v>
      </c>
      <c r="FC25" t="s">
        <v>69</v>
      </c>
      <c r="FD25">
        <v>174.203</v>
      </c>
      <c r="FE25" t="s">
        <v>69</v>
      </c>
      <c r="FF25" t="s">
        <v>69</v>
      </c>
      <c r="FG25">
        <v>121</v>
      </c>
      <c r="FH25" t="s">
        <v>74</v>
      </c>
      <c r="FI25" t="s">
        <v>153</v>
      </c>
      <c r="FJ25" t="s">
        <v>75</v>
      </c>
      <c r="FK25" t="s">
        <v>153</v>
      </c>
      <c r="FL25">
        <v>174.203</v>
      </c>
      <c r="FM25" t="s">
        <v>153</v>
      </c>
      <c r="FN25" t="s">
        <v>153</v>
      </c>
      <c r="FO25">
        <v>125</v>
      </c>
      <c r="FP25" t="s">
        <v>147</v>
      </c>
      <c r="FQ25" t="s">
        <v>153</v>
      </c>
      <c r="FR25" t="s">
        <v>148</v>
      </c>
      <c r="FS25" t="s">
        <v>153</v>
      </c>
      <c r="FT25">
        <v>146.14599999999999</v>
      </c>
      <c r="FU25" t="s">
        <v>69</v>
      </c>
      <c r="FV25" t="s">
        <v>69</v>
      </c>
    </row>
    <row r="26" spans="1:178" x14ac:dyDescent="0.25">
      <c r="A26">
        <v>7</v>
      </c>
      <c r="B26" t="str">
        <f>HYPERLINK("http://www.ncbi.nlm.nih.gov/protein/XP_021079617.1","XP_021079617.1")</f>
        <v>XP_021079617.1</v>
      </c>
      <c r="C26">
        <v>54410</v>
      </c>
      <c r="D26" t="str">
        <f>HYPERLINK("http://www.ncbi.nlm.nih.gov/Taxonomy/Browser/wwwtax.cgi?mode=Info&amp;id=10036&amp;lvl=3&amp;lin=f&amp;keep=1&amp;srchmode=1&amp;unlock","10036")</f>
        <v>10036</v>
      </c>
      <c r="E26" t="s">
        <v>66</v>
      </c>
      <c r="F26" t="str">
        <f>HYPERLINK("http://www.ncbi.nlm.nih.gov/Taxonomy/Browser/wwwtax.cgi?mode=Info&amp;id=10036&amp;lvl=3&amp;lin=f&amp;keep=1&amp;srchmode=1&amp;unlock","Mesocricetus auratus")</f>
        <v>Mesocricetus auratus</v>
      </c>
      <c r="G26" t="s">
        <v>87</v>
      </c>
      <c r="H26" t="str">
        <f>HYPERLINK("http://www.ncbi.nlm.nih.gov/protein/XP_021079617.1","bone marrow stromal antigen 2 isoform X1")</f>
        <v>bone marrow stromal antigen 2 isoform X1</v>
      </c>
      <c r="I26" t="s">
        <v>248</v>
      </c>
      <c r="J26" t="s">
        <v>153</v>
      </c>
      <c r="K26">
        <v>51</v>
      </c>
      <c r="L26" t="s">
        <v>73</v>
      </c>
      <c r="M26" t="s">
        <v>69</v>
      </c>
      <c r="N26" t="s">
        <v>71</v>
      </c>
      <c r="O26" t="s">
        <v>69</v>
      </c>
      <c r="P26">
        <v>89.093999999999994</v>
      </c>
      <c r="Q26" t="s">
        <v>69</v>
      </c>
      <c r="R26" t="s">
        <v>69</v>
      </c>
      <c r="S26">
        <v>52</v>
      </c>
      <c r="T26" t="s">
        <v>155</v>
      </c>
      <c r="U26" t="s">
        <v>153</v>
      </c>
      <c r="V26" t="s">
        <v>150</v>
      </c>
      <c r="W26" t="s">
        <v>153</v>
      </c>
      <c r="X26">
        <v>105.093</v>
      </c>
      <c r="Y26" t="s">
        <v>69</v>
      </c>
      <c r="Z26" t="s">
        <v>69</v>
      </c>
      <c r="AA26">
        <v>53</v>
      </c>
      <c r="AB26" t="s">
        <v>155</v>
      </c>
      <c r="AC26" t="s">
        <v>69</v>
      </c>
      <c r="AD26" t="s">
        <v>150</v>
      </c>
      <c r="AE26" t="s">
        <v>69</v>
      </c>
      <c r="AF26">
        <v>105.093</v>
      </c>
      <c r="AG26" t="s">
        <v>69</v>
      </c>
      <c r="AH26" t="s">
        <v>69</v>
      </c>
      <c r="AI26">
        <v>54</v>
      </c>
      <c r="AJ26" t="s">
        <v>119</v>
      </c>
      <c r="AK26" t="s">
        <v>69</v>
      </c>
      <c r="AL26" t="s">
        <v>120</v>
      </c>
      <c r="AM26" t="s">
        <v>69</v>
      </c>
      <c r="AN26">
        <v>147.131</v>
      </c>
      <c r="AO26" t="s">
        <v>69</v>
      </c>
      <c r="AP26" t="s">
        <v>69</v>
      </c>
      <c r="AQ26">
        <v>55</v>
      </c>
      <c r="AR26" t="s">
        <v>73</v>
      </c>
      <c r="AS26" t="s">
        <v>69</v>
      </c>
      <c r="AT26" t="s">
        <v>71</v>
      </c>
      <c r="AU26" t="s">
        <v>69</v>
      </c>
      <c r="AV26">
        <v>89.093999999999994</v>
      </c>
      <c r="AW26" t="s">
        <v>69</v>
      </c>
      <c r="AX26" t="s">
        <v>69</v>
      </c>
      <c r="AY26">
        <v>56</v>
      </c>
      <c r="AZ26" t="s">
        <v>249</v>
      </c>
      <c r="BA26" t="s">
        <v>69</v>
      </c>
      <c r="BB26" t="s">
        <v>117</v>
      </c>
      <c r="BC26" t="s">
        <v>69</v>
      </c>
      <c r="BD26">
        <v>121.154</v>
      </c>
      <c r="BE26" t="s">
        <v>69</v>
      </c>
      <c r="BF26" t="s">
        <v>69</v>
      </c>
      <c r="BG26">
        <v>87</v>
      </c>
      <c r="BH26" t="s">
        <v>73</v>
      </c>
      <c r="BI26" t="s">
        <v>153</v>
      </c>
      <c r="BJ26" t="s">
        <v>71</v>
      </c>
      <c r="BK26" t="s">
        <v>69</v>
      </c>
      <c r="BL26">
        <v>89.093999999999994</v>
      </c>
      <c r="BM26" t="s">
        <v>69</v>
      </c>
      <c r="BN26" t="s">
        <v>69</v>
      </c>
      <c r="BO26">
        <v>88</v>
      </c>
      <c r="BP26" t="s">
        <v>119</v>
      </c>
      <c r="BQ26" t="s">
        <v>69</v>
      </c>
      <c r="BR26" t="s">
        <v>120</v>
      </c>
      <c r="BS26" t="s">
        <v>69</v>
      </c>
      <c r="BT26">
        <v>147.131</v>
      </c>
      <c r="BU26" t="s">
        <v>69</v>
      </c>
      <c r="BV26" t="s">
        <v>69</v>
      </c>
      <c r="BW26">
        <v>90</v>
      </c>
      <c r="BX26" t="s">
        <v>147</v>
      </c>
      <c r="BY26" t="s">
        <v>69</v>
      </c>
      <c r="BZ26" t="s">
        <v>148</v>
      </c>
      <c r="CA26" t="s">
        <v>69</v>
      </c>
      <c r="CB26">
        <v>146.14599999999999</v>
      </c>
      <c r="CC26" t="s">
        <v>69</v>
      </c>
      <c r="CD26" t="s">
        <v>69</v>
      </c>
      <c r="CE26">
        <v>91</v>
      </c>
      <c r="CF26" t="s">
        <v>73</v>
      </c>
      <c r="CG26" t="s">
        <v>69</v>
      </c>
      <c r="CH26" t="s">
        <v>71</v>
      </c>
      <c r="CI26" t="s">
        <v>69</v>
      </c>
      <c r="CJ26">
        <v>89.093999999999994</v>
      </c>
      <c r="CK26" t="s">
        <v>69</v>
      </c>
      <c r="CL26" t="s">
        <v>69</v>
      </c>
      <c r="CM26">
        <v>92</v>
      </c>
      <c r="CN26" t="s">
        <v>70</v>
      </c>
      <c r="CO26" t="s">
        <v>153</v>
      </c>
      <c r="CP26" t="s">
        <v>71</v>
      </c>
      <c r="CQ26" t="s">
        <v>69</v>
      </c>
      <c r="CR26">
        <v>75.066999999999993</v>
      </c>
      <c r="CS26" t="s">
        <v>69</v>
      </c>
      <c r="CT26" t="s">
        <v>69</v>
      </c>
      <c r="CU26">
        <v>94</v>
      </c>
      <c r="CV26" t="s">
        <v>249</v>
      </c>
      <c r="CW26" t="s">
        <v>69</v>
      </c>
      <c r="CX26" t="s">
        <v>117</v>
      </c>
      <c r="CY26" t="s">
        <v>69</v>
      </c>
      <c r="CZ26">
        <v>121.154</v>
      </c>
      <c r="DA26" t="s">
        <v>69</v>
      </c>
      <c r="DB26" t="s">
        <v>69</v>
      </c>
      <c r="DC26">
        <v>95</v>
      </c>
      <c r="DD26" t="s">
        <v>153</v>
      </c>
      <c r="DE26" t="s">
        <v>69</v>
      </c>
      <c r="DF26" t="s">
        <v>148</v>
      </c>
      <c r="DG26" t="s">
        <v>69</v>
      </c>
      <c r="DH26">
        <v>132.119</v>
      </c>
      <c r="DI26" t="s">
        <v>69</v>
      </c>
      <c r="DJ26" t="s">
        <v>69</v>
      </c>
      <c r="DK26">
        <v>108</v>
      </c>
      <c r="DL26" t="s">
        <v>76</v>
      </c>
      <c r="DM26" t="s">
        <v>153</v>
      </c>
      <c r="DN26" t="s">
        <v>75</v>
      </c>
      <c r="DO26" t="s">
        <v>153</v>
      </c>
      <c r="DP26">
        <v>146.18899999999999</v>
      </c>
      <c r="DQ26" t="s">
        <v>69</v>
      </c>
      <c r="DR26" t="s">
        <v>69</v>
      </c>
      <c r="DS26">
        <v>109</v>
      </c>
      <c r="DT26" t="s">
        <v>115</v>
      </c>
      <c r="DU26" t="s">
        <v>153</v>
      </c>
      <c r="DV26" t="s">
        <v>71</v>
      </c>
      <c r="DW26" t="s">
        <v>153</v>
      </c>
      <c r="DX26">
        <v>117.148</v>
      </c>
      <c r="DY26" t="s">
        <v>69</v>
      </c>
      <c r="DZ26" t="s">
        <v>69</v>
      </c>
      <c r="EA26">
        <v>114</v>
      </c>
      <c r="EB26" t="s">
        <v>119</v>
      </c>
      <c r="EC26" t="s">
        <v>153</v>
      </c>
      <c r="ED26" t="s">
        <v>120</v>
      </c>
      <c r="EE26" t="s">
        <v>153</v>
      </c>
      <c r="EF26">
        <v>147.131</v>
      </c>
      <c r="EG26" t="s">
        <v>69</v>
      </c>
      <c r="EH26" t="s">
        <v>69</v>
      </c>
      <c r="EI26">
        <v>115</v>
      </c>
      <c r="EJ26" t="s">
        <v>147</v>
      </c>
      <c r="EK26" t="s">
        <v>153</v>
      </c>
      <c r="EL26" t="s">
        <v>148</v>
      </c>
      <c r="EM26" t="s">
        <v>153</v>
      </c>
      <c r="EN26">
        <v>146.14599999999999</v>
      </c>
      <c r="EO26" t="s">
        <v>153</v>
      </c>
      <c r="EP26" t="s">
        <v>153</v>
      </c>
      <c r="EQ26">
        <v>116</v>
      </c>
      <c r="ER26" t="s">
        <v>147</v>
      </c>
      <c r="ES26" t="s">
        <v>69</v>
      </c>
      <c r="ET26" t="s">
        <v>148</v>
      </c>
      <c r="EU26" t="s">
        <v>69</v>
      </c>
      <c r="EV26">
        <v>146.14599999999999</v>
      </c>
      <c r="EW26" t="s">
        <v>69</v>
      </c>
      <c r="EX26" t="s">
        <v>69</v>
      </c>
      <c r="EY26">
        <v>118</v>
      </c>
      <c r="EZ26" t="s">
        <v>74</v>
      </c>
      <c r="FA26" t="s">
        <v>153</v>
      </c>
      <c r="FB26" t="s">
        <v>75</v>
      </c>
      <c r="FC26" t="s">
        <v>69</v>
      </c>
      <c r="FD26">
        <v>174.203</v>
      </c>
      <c r="FE26" t="s">
        <v>69</v>
      </c>
      <c r="FF26" t="s">
        <v>69</v>
      </c>
      <c r="FG26">
        <v>119</v>
      </c>
      <c r="FH26" t="s">
        <v>145</v>
      </c>
      <c r="FI26" t="s">
        <v>153</v>
      </c>
      <c r="FJ26" t="s">
        <v>71</v>
      </c>
      <c r="FK26" t="s">
        <v>69</v>
      </c>
      <c r="FL26">
        <v>131.17500000000001</v>
      </c>
      <c r="FM26" t="s">
        <v>69</v>
      </c>
      <c r="FN26" t="s">
        <v>69</v>
      </c>
      <c r="FO26">
        <v>123</v>
      </c>
      <c r="FP26" t="s">
        <v>147</v>
      </c>
      <c r="FQ26" t="s">
        <v>153</v>
      </c>
      <c r="FR26" t="s">
        <v>148</v>
      </c>
      <c r="FS26" t="s">
        <v>153</v>
      </c>
      <c r="FT26">
        <v>146.14599999999999</v>
      </c>
      <c r="FU26" t="s">
        <v>69</v>
      </c>
      <c r="FV26" t="s">
        <v>69</v>
      </c>
    </row>
    <row r="27" spans="1:178" x14ac:dyDescent="0.25">
      <c r="A27">
        <v>7</v>
      </c>
      <c r="B27" t="str">
        <f>HYPERLINK("http://www.ncbi.nlm.nih.gov/protein/XP_016013286.2","XP_016013286.2")</f>
        <v>XP_016013286.2</v>
      </c>
      <c r="C27">
        <v>117142</v>
      </c>
      <c r="D27" t="str">
        <f>HYPERLINK("http://www.ncbi.nlm.nih.gov/Taxonomy/Browser/wwwtax.cgi?mode=Info&amp;id=9407&amp;lvl=3&amp;lin=f&amp;keep=1&amp;srchmode=1&amp;unlock","9407")</f>
        <v>9407</v>
      </c>
      <c r="E27" t="s">
        <v>66</v>
      </c>
      <c r="F27" t="str">
        <f>HYPERLINK("http://www.ncbi.nlm.nih.gov/Taxonomy/Browser/wwwtax.cgi?mode=Info&amp;id=9407&amp;lvl=3&amp;lin=f&amp;keep=1&amp;srchmode=1&amp;unlock","Rousettus aegyptiacus")</f>
        <v>Rousettus aegyptiacus</v>
      </c>
      <c r="G27" t="s">
        <v>103</v>
      </c>
      <c r="H27" t="str">
        <f>HYPERLINK("http://www.ncbi.nlm.nih.gov/protein/XP_016013286.2","bone marrow stromal antigen 2")</f>
        <v>bone marrow stromal antigen 2</v>
      </c>
      <c r="I27" t="s">
        <v>248</v>
      </c>
      <c r="J27" t="s">
        <v>153</v>
      </c>
      <c r="K27">
        <v>54</v>
      </c>
      <c r="L27" t="s">
        <v>73</v>
      </c>
      <c r="M27" t="s">
        <v>69</v>
      </c>
      <c r="N27" t="s">
        <v>71</v>
      </c>
      <c r="O27" t="s">
        <v>69</v>
      </c>
      <c r="P27">
        <v>89.093999999999994</v>
      </c>
      <c r="Q27" t="s">
        <v>69</v>
      </c>
      <c r="R27" t="s">
        <v>69</v>
      </c>
      <c r="S27">
        <v>55</v>
      </c>
      <c r="T27" t="s">
        <v>153</v>
      </c>
      <c r="U27" t="s">
        <v>69</v>
      </c>
      <c r="V27" t="s">
        <v>148</v>
      </c>
      <c r="W27" t="s">
        <v>69</v>
      </c>
      <c r="X27">
        <v>132.119</v>
      </c>
      <c r="Y27" t="s">
        <v>69</v>
      </c>
      <c r="Z27" t="s">
        <v>69</v>
      </c>
      <c r="AA27">
        <v>56</v>
      </c>
      <c r="AB27" t="s">
        <v>155</v>
      </c>
      <c r="AC27" t="s">
        <v>69</v>
      </c>
      <c r="AD27" t="s">
        <v>150</v>
      </c>
      <c r="AE27" t="s">
        <v>69</v>
      </c>
      <c r="AF27">
        <v>105.093</v>
      </c>
      <c r="AG27" t="s">
        <v>69</v>
      </c>
      <c r="AH27" t="s">
        <v>69</v>
      </c>
      <c r="AI27">
        <v>57</v>
      </c>
      <c r="AJ27" t="s">
        <v>76</v>
      </c>
      <c r="AK27" t="s">
        <v>153</v>
      </c>
      <c r="AL27" t="s">
        <v>75</v>
      </c>
      <c r="AM27" t="s">
        <v>153</v>
      </c>
      <c r="AN27">
        <v>146.18899999999999</v>
      </c>
      <c r="AO27" t="s">
        <v>69</v>
      </c>
      <c r="AP27" t="s">
        <v>69</v>
      </c>
      <c r="AQ27">
        <v>58</v>
      </c>
      <c r="AR27" t="s">
        <v>73</v>
      </c>
      <c r="AS27" t="s">
        <v>69</v>
      </c>
      <c r="AT27" t="s">
        <v>71</v>
      </c>
      <c r="AU27" t="s">
        <v>69</v>
      </c>
      <c r="AV27">
        <v>89.093999999999994</v>
      </c>
      <c r="AW27" t="s">
        <v>69</v>
      </c>
      <c r="AX27" t="s">
        <v>69</v>
      </c>
      <c r="AY27">
        <v>59</v>
      </c>
      <c r="AZ27" t="s">
        <v>249</v>
      </c>
      <c r="BA27" t="s">
        <v>69</v>
      </c>
      <c r="BB27" t="s">
        <v>117</v>
      </c>
      <c r="BC27" t="s">
        <v>69</v>
      </c>
      <c r="BD27">
        <v>121.154</v>
      </c>
      <c r="BE27" t="s">
        <v>69</v>
      </c>
      <c r="BF27" t="s">
        <v>69</v>
      </c>
      <c r="BG27">
        <v>90</v>
      </c>
      <c r="BH27" t="s">
        <v>73</v>
      </c>
      <c r="BI27" t="s">
        <v>153</v>
      </c>
      <c r="BJ27" t="s">
        <v>71</v>
      </c>
      <c r="BK27" t="s">
        <v>69</v>
      </c>
      <c r="BL27">
        <v>89.093999999999994</v>
      </c>
      <c r="BM27" t="s">
        <v>69</v>
      </c>
      <c r="BN27" t="s">
        <v>69</v>
      </c>
      <c r="BO27">
        <v>91</v>
      </c>
      <c r="BP27" t="s">
        <v>119</v>
      </c>
      <c r="BQ27" t="s">
        <v>69</v>
      </c>
      <c r="BR27" t="s">
        <v>120</v>
      </c>
      <c r="BS27" t="s">
        <v>69</v>
      </c>
      <c r="BT27">
        <v>147.131</v>
      </c>
      <c r="BU27" t="s">
        <v>69</v>
      </c>
      <c r="BV27" t="s">
        <v>69</v>
      </c>
      <c r="BW27">
        <v>93</v>
      </c>
      <c r="BX27" t="s">
        <v>147</v>
      </c>
      <c r="BY27" t="s">
        <v>69</v>
      </c>
      <c r="BZ27" t="s">
        <v>148</v>
      </c>
      <c r="CA27" t="s">
        <v>69</v>
      </c>
      <c r="CB27">
        <v>146.14599999999999</v>
      </c>
      <c r="CC27" t="s">
        <v>69</v>
      </c>
      <c r="CD27" t="s">
        <v>69</v>
      </c>
      <c r="CE27">
        <v>94</v>
      </c>
      <c r="CF27" t="s">
        <v>73</v>
      </c>
      <c r="CG27" t="s">
        <v>69</v>
      </c>
      <c r="CH27" t="s">
        <v>71</v>
      </c>
      <c r="CI27" t="s">
        <v>69</v>
      </c>
      <c r="CJ27">
        <v>89.093999999999994</v>
      </c>
      <c r="CK27" t="s">
        <v>69</v>
      </c>
      <c r="CL27" t="s">
        <v>69</v>
      </c>
      <c r="CM27">
        <v>95</v>
      </c>
      <c r="CN27" t="s">
        <v>69</v>
      </c>
      <c r="CO27" t="s">
        <v>153</v>
      </c>
      <c r="CP27" t="s">
        <v>152</v>
      </c>
      <c r="CQ27" t="s">
        <v>153</v>
      </c>
      <c r="CR27">
        <v>181.191</v>
      </c>
      <c r="CS27" t="s">
        <v>153</v>
      </c>
      <c r="CT27" t="s">
        <v>153</v>
      </c>
      <c r="CU27">
        <v>97</v>
      </c>
      <c r="CV27" t="s">
        <v>249</v>
      </c>
      <c r="CW27" t="s">
        <v>69</v>
      </c>
      <c r="CX27" t="s">
        <v>117</v>
      </c>
      <c r="CY27" t="s">
        <v>69</v>
      </c>
      <c r="CZ27">
        <v>121.154</v>
      </c>
      <c r="DA27" t="s">
        <v>69</v>
      </c>
      <c r="DB27" t="s">
        <v>69</v>
      </c>
      <c r="DC27">
        <v>98</v>
      </c>
      <c r="DD27" t="s">
        <v>153</v>
      </c>
      <c r="DE27" t="s">
        <v>69</v>
      </c>
      <c r="DF27" t="s">
        <v>148</v>
      </c>
      <c r="DG27" t="s">
        <v>69</v>
      </c>
      <c r="DH27">
        <v>132.119</v>
      </c>
      <c r="DI27" t="s">
        <v>69</v>
      </c>
      <c r="DJ27" t="s">
        <v>69</v>
      </c>
      <c r="DK27">
        <v>111</v>
      </c>
      <c r="DL27" t="s">
        <v>119</v>
      </c>
      <c r="DM27" t="s">
        <v>69</v>
      </c>
      <c r="DN27" t="s">
        <v>120</v>
      </c>
      <c r="DO27" t="s">
        <v>69</v>
      </c>
      <c r="DP27">
        <v>147.131</v>
      </c>
      <c r="DQ27" t="s">
        <v>69</v>
      </c>
      <c r="DR27" t="s">
        <v>69</v>
      </c>
      <c r="DS27">
        <v>112</v>
      </c>
      <c r="DT27" t="s">
        <v>76</v>
      </c>
      <c r="DU27" t="s">
        <v>69</v>
      </c>
      <c r="DV27" t="s">
        <v>75</v>
      </c>
      <c r="DW27" t="s">
        <v>69</v>
      </c>
      <c r="DX27">
        <v>146.18899999999999</v>
      </c>
      <c r="DY27" t="s">
        <v>69</v>
      </c>
      <c r="DZ27" t="s">
        <v>69</v>
      </c>
      <c r="EA27">
        <v>117</v>
      </c>
      <c r="EB27" t="s">
        <v>76</v>
      </c>
      <c r="EC27" t="s">
        <v>153</v>
      </c>
      <c r="ED27" t="s">
        <v>75</v>
      </c>
      <c r="EE27" t="s">
        <v>153</v>
      </c>
      <c r="EF27">
        <v>146.18899999999999</v>
      </c>
      <c r="EG27" t="s">
        <v>69</v>
      </c>
      <c r="EH27" t="s">
        <v>69</v>
      </c>
      <c r="EI27">
        <v>118</v>
      </c>
      <c r="EJ27" t="s">
        <v>147</v>
      </c>
      <c r="EK27" t="s">
        <v>153</v>
      </c>
      <c r="EL27" t="s">
        <v>148</v>
      </c>
      <c r="EM27" t="s">
        <v>153</v>
      </c>
      <c r="EN27">
        <v>146.14599999999999</v>
      </c>
      <c r="EO27" t="s">
        <v>153</v>
      </c>
      <c r="EP27" t="s">
        <v>153</v>
      </c>
      <c r="EQ27">
        <v>119</v>
      </c>
      <c r="ER27" t="s">
        <v>74</v>
      </c>
      <c r="ES27" t="s">
        <v>153</v>
      </c>
      <c r="ET27" t="s">
        <v>75</v>
      </c>
      <c r="EU27" t="s">
        <v>153</v>
      </c>
      <c r="EV27">
        <v>174.203</v>
      </c>
      <c r="EW27" t="s">
        <v>69</v>
      </c>
      <c r="EX27" t="s">
        <v>69</v>
      </c>
      <c r="EY27">
        <v>121</v>
      </c>
      <c r="EZ27" t="s">
        <v>72</v>
      </c>
      <c r="FA27" t="s">
        <v>153</v>
      </c>
      <c r="FB27" t="s">
        <v>71</v>
      </c>
      <c r="FC27" t="s">
        <v>153</v>
      </c>
      <c r="FD27">
        <v>131.17500000000001</v>
      </c>
      <c r="FE27" t="s">
        <v>69</v>
      </c>
      <c r="FF27" t="s">
        <v>69</v>
      </c>
      <c r="FG27">
        <v>122</v>
      </c>
      <c r="FH27" t="s">
        <v>73</v>
      </c>
      <c r="FI27" t="s">
        <v>153</v>
      </c>
      <c r="FJ27" t="s">
        <v>71</v>
      </c>
      <c r="FK27" t="s">
        <v>69</v>
      </c>
      <c r="FL27">
        <v>89.093999999999994</v>
      </c>
      <c r="FM27" t="s">
        <v>69</v>
      </c>
      <c r="FN27" t="s">
        <v>69</v>
      </c>
      <c r="FO27">
        <v>126</v>
      </c>
      <c r="FP27" t="s">
        <v>147</v>
      </c>
      <c r="FQ27" t="s">
        <v>153</v>
      </c>
      <c r="FR27" t="s">
        <v>148</v>
      </c>
      <c r="FS27" t="s">
        <v>153</v>
      </c>
      <c r="FT27">
        <v>146.14599999999999</v>
      </c>
      <c r="FU27" t="s">
        <v>69</v>
      </c>
      <c r="FV27" t="s">
        <v>69</v>
      </c>
    </row>
    <row r="28" spans="1:178" x14ac:dyDescent="0.25">
      <c r="A28">
        <v>7</v>
      </c>
      <c r="B28" t="str">
        <f>HYPERLINK("http://www.ncbi.nlm.nih.gov/protein/NP_937767.1","NP_937767.1")</f>
        <v>NP_937767.1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HYPERLINK("http://www.ncbi.nlm.nih.gov/protein/NP_937767.1","bone marrow stromal antigen 2")</f>
        <v>bone marrow stromal antigen 2</v>
      </c>
      <c r="I28" t="s">
        <v>248</v>
      </c>
      <c r="J28" t="s">
        <v>153</v>
      </c>
      <c r="K28">
        <v>53</v>
      </c>
      <c r="L28" t="s">
        <v>73</v>
      </c>
      <c r="M28" t="s">
        <v>69</v>
      </c>
      <c r="N28" t="s">
        <v>71</v>
      </c>
      <c r="O28" t="s">
        <v>69</v>
      </c>
      <c r="P28">
        <v>89.093999999999994</v>
      </c>
      <c r="Q28" t="s">
        <v>69</v>
      </c>
      <c r="R28" t="s">
        <v>69</v>
      </c>
      <c r="S28">
        <v>54</v>
      </c>
      <c r="T28" t="s">
        <v>157</v>
      </c>
      <c r="U28" t="s">
        <v>153</v>
      </c>
      <c r="V28" t="s">
        <v>75</v>
      </c>
      <c r="W28" t="s">
        <v>153</v>
      </c>
      <c r="X28">
        <v>155.15600000000001</v>
      </c>
      <c r="Y28" t="s">
        <v>69</v>
      </c>
      <c r="Z28" t="s">
        <v>69</v>
      </c>
      <c r="AA28">
        <v>55</v>
      </c>
      <c r="AB28" t="s">
        <v>155</v>
      </c>
      <c r="AC28" t="s">
        <v>69</v>
      </c>
      <c r="AD28" t="s">
        <v>150</v>
      </c>
      <c r="AE28" t="s">
        <v>69</v>
      </c>
      <c r="AF28">
        <v>105.093</v>
      </c>
      <c r="AG28" t="s">
        <v>69</v>
      </c>
      <c r="AH28" t="s">
        <v>69</v>
      </c>
      <c r="AI28">
        <v>56</v>
      </c>
      <c r="AJ28" t="s">
        <v>119</v>
      </c>
      <c r="AK28" t="s">
        <v>69</v>
      </c>
      <c r="AL28" t="s">
        <v>120</v>
      </c>
      <c r="AM28" t="s">
        <v>69</v>
      </c>
      <c r="AN28">
        <v>147.131</v>
      </c>
      <c r="AO28" t="s">
        <v>69</v>
      </c>
      <c r="AP28" t="s">
        <v>69</v>
      </c>
      <c r="AQ28">
        <v>57</v>
      </c>
      <c r="AR28" t="s">
        <v>73</v>
      </c>
      <c r="AS28" t="s">
        <v>69</v>
      </c>
      <c r="AT28" t="s">
        <v>71</v>
      </c>
      <c r="AU28" t="s">
        <v>69</v>
      </c>
      <c r="AV28">
        <v>89.093999999999994</v>
      </c>
      <c r="AW28" t="s">
        <v>69</v>
      </c>
      <c r="AX28" t="s">
        <v>69</v>
      </c>
      <c r="AY28">
        <v>58</v>
      </c>
      <c r="AZ28" t="s">
        <v>249</v>
      </c>
      <c r="BA28" t="s">
        <v>69</v>
      </c>
      <c r="BB28" t="s">
        <v>117</v>
      </c>
      <c r="BC28" t="s">
        <v>69</v>
      </c>
      <c r="BD28">
        <v>121.154</v>
      </c>
      <c r="BE28" t="s">
        <v>69</v>
      </c>
      <c r="BF28" t="s">
        <v>69</v>
      </c>
      <c r="BG28">
        <v>89</v>
      </c>
      <c r="BH28" t="s">
        <v>149</v>
      </c>
      <c r="BI28" t="s">
        <v>153</v>
      </c>
      <c r="BJ28" t="s">
        <v>150</v>
      </c>
      <c r="BK28" t="s">
        <v>153</v>
      </c>
      <c r="BL28">
        <v>119.119</v>
      </c>
      <c r="BM28" t="s">
        <v>69</v>
      </c>
      <c r="BN28" t="s">
        <v>69</v>
      </c>
      <c r="BO28">
        <v>90</v>
      </c>
      <c r="BP28" t="s">
        <v>119</v>
      </c>
      <c r="BQ28" t="s">
        <v>69</v>
      </c>
      <c r="BR28" t="s">
        <v>120</v>
      </c>
      <c r="BS28" t="s">
        <v>69</v>
      </c>
      <c r="BT28">
        <v>147.131</v>
      </c>
      <c r="BU28" t="s">
        <v>69</v>
      </c>
      <c r="BV28" t="s">
        <v>69</v>
      </c>
      <c r="BW28">
        <v>92</v>
      </c>
      <c r="BX28" t="s">
        <v>147</v>
      </c>
      <c r="BY28" t="s">
        <v>69</v>
      </c>
      <c r="BZ28" t="s">
        <v>148</v>
      </c>
      <c r="CA28" t="s">
        <v>69</v>
      </c>
      <c r="CB28">
        <v>146.14599999999999</v>
      </c>
      <c r="CC28" t="s">
        <v>69</v>
      </c>
      <c r="CD28" t="s">
        <v>69</v>
      </c>
      <c r="CE28">
        <v>93</v>
      </c>
      <c r="CF28" t="s">
        <v>73</v>
      </c>
      <c r="CG28" t="s">
        <v>69</v>
      </c>
      <c r="CH28" t="s">
        <v>71</v>
      </c>
      <c r="CI28" t="s">
        <v>69</v>
      </c>
      <c r="CJ28">
        <v>89.093999999999994</v>
      </c>
      <c r="CK28" t="s">
        <v>69</v>
      </c>
      <c r="CL28" t="s">
        <v>69</v>
      </c>
      <c r="CM28">
        <v>94</v>
      </c>
      <c r="CN28" t="s">
        <v>153</v>
      </c>
      <c r="CO28" t="s">
        <v>153</v>
      </c>
      <c r="CP28" t="s">
        <v>148</v>
      </c>
      <c r="CQ28" t="s">
        <v>153</v>
      </c>
      <c r="CR28">
        <v>132.119</v>
      </c>
      <c r="CS28" t="s">
        <v>153</v>
      </c>
      <c r="CT28" t="s">
        <v>153</v>
      </c>
      <c r="CU28">
        <v>96</v>
      </c>
      <c r="CV28" t="s">
        <v>249</v>
      </c>
      <c r="CW28" t="s">
        <v>69</v>
      </c>
      <c r="CX28" t="s">
        <v>117</v>
      </c>
      <c r="CY28" t="s">
        <v>69</v>
      </c>
      <c r="CZ28">
        <v>121.154</v>
      </c>
      <c r="DA28" t="s">
        <v>69</v>
      </c>
      <c r="DB28" t="s">
        <v>69</v>
      </c>
      <c r="DC28">
        <v>97</v>
      </c>
      <c r="DD28" t="s">
        <v>153</v>
      </c>
      <c r="DE28" t="s">
        <v>69</v>
      </c>
      <c r="DF28" t="s">
        <v>148</v>
      </c>
      <c r="DG28" t="s">
        <v>69</v>
      </c>
      <c r="DH28">
        <v>132.119</v>
      </c>
      <c r="DI28" t="s">
        <v>69</v>
      </c>
      <c r="DJ28" t="s">
        <v>69</v>
      </c>
      <c r="DK28">
        <v>110</v>
      </c>
      <c r="DL28" t="s">
        <v>76</v>
      </c>
      <c r="DM28" t="s">
        <v>153</v>
      </c>
      <c r="DN28" t="s">
        <v>75</v>
      </c>
      <c r="DO28" t="s">
        <v>153</v>
      </c>
      <c r="DP28">
        <v>146.18899999999999</v>
      </c>
      <c r="DQ28" t="s">
        <v>69</v>
      </c>
      <c r="DR28" t="s">
        <v>69</v>
      </c>
      <c r="DS28">
        <v>111</v>
      </c>
      <c r="DT28" t="s">
        <v>115</v>
      </c>
      <c r="DU28" t="s">
        <v>153</v>
      </c>
      <c r="DV28" t="s">
        <v>71</v>
      </c>
      <c r="DW28" t="s">
        <v>153</v>
      </c>
      <c r="DX28">
        <v>117.148</v>
      </c>
      <c r="DY28" t="s">
        <v>69</v>
      </c>
      <c r="DZ28" t="s">
        <v>69</v>
      </c>
      <c r="EA28">
        <v>116</v>
      </c>
      <c r="EB28" t="s">
        <v>119</v>
      </c>
      <c r="EC28" t="s">
        <v>153</v>
      </c>
      <c r="ED28" t="s">
        <v>120</v>
      </c>
      <c r="EE28" t="s">
        <v>153</v>
      </c>
      <c r="EF28">
        <v>147.131</v>
      </c>
      <c r="EG28" t="s">
        <v>69</v>
      </c>
      <c r="EH28" t="s">
        <v>69</v>
      </c>
      <c r="EI28">
        <v>117</v>
      </c>
      <c r="EJ28" t="s">
        <v>147</v>
      </c>
      <c r="EK28" t="s">
        <v>153</v>
      </c>
      <c r="EL28" t="s">
        <v>148</v>
      </c>
      <c r="EM28" t="s">
        <v>153</v>
      </c>
      <c r="EN28">
        <v>146.14599999999999</v>
      </c>
      <c r="EO28" t="s">
        <v>153</v>
      </c>
      <c r="EP28" t="s">
        <v>153</v>
      </c>
      <c r="EQ28">
        <v>118</v>
      </c>
      <c r="ER28" t="s">
        <v>147</v>
      </c>
      <c r="ES28" t="s">
        <v>69</v>
      </c>
      <c r="ET28" t="s">
        <v>148</v>
      </c>
      <c r="EU28" t="s">
        <v>69</v>
      </c>
      <c r="EV28">
        <v>146.14599999999999</v>
      </c>
      <c r="EW28" t="s">
        <v>69</v>
      </c>
      <c r="EX28" t="s">
        <v>69</v>
      </c>
      <c r="EY28">
        <v>120</v>
      </c>
      <c r="EZ28" t="s">
        <v>74</v>
      </c>
      <c r="FA28" t="s">
        <v>153</v>
      </c>
      <c r="FB28" t="s">
        <v>75</v>
      </c>
      <c r="FC28" t="s">
        <v>69</v>
      </c>
      <c r="FD28">
        <v>174.203</v>
      </c>
      <c r="FE28" t="s">
        <v>69</v>
      </c>
      <c r="FF28" t="s">
        <v>69</v>
      </c>
      <c r="FG28" t="s">
        <v>159</v>
      </c>
      <c r="FH28" t="s">
        <v>159</v>
      </c>
      <c r="FI28" t="s">
        <v>153</v>
      </c>
      <c r="FJ28" t="s">
        <v>159</v>
      </c>
      <c r="FK28" t="s">
        <v>153</v>
      </c>
      <c r="FL28" t="s">
        <v>159</v>
      </c>
      <c r="FM28" t="s">
        <v>153</v>
      </c>
      <c r="FN28" t="s">
        <v>153</v>
      </c>
      <c r="FO28" t="s">
        <v>159</v>
      </c>
      <c r="FP28" t="s">
        <v>159</v>
      </c>
      <c r="FQ28" t="s">
        <v>153</v>
      </c>
      <c r="FR28" t="s">
        <v>159</v>
      </c>
      <c r="FS28" t="s">
        <v>153</v>
      </c>
      <c r="FT28" t="s">
        <v>159</v>
      </c>
      <c r="FU28" t="s">
        <v>153</v>
      </c>
      <c r="FV28" t="s">
        <v>153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V28"/>
  <sheetViews>
    <sheetView workbookViewId="0"/>
  </sheetViews>
  <sheetFormatPr defaultRowHeight="15" x14ac:dyDescent="0.25"/>
  <cols>
    <col min="8" max="8" width="40.5703125" customWidth="1"/>
  </cols>
  <sheetData>
    <row r="1" spans="1:178"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121</v>
      </c>
      <c r="BP1" t="s">
        <v>122</v>
      </c>
      <c r="BQ1" t="s">
        <v>123</v>
      </c>
      <c r="BR1" t="s">
        <v>124</v>
      </c>
      <c r="BS1" t="s">
        <v>125</v>
      </c>
      <c r="BT1" t="s">
        <v>126</v>
      </c>
      <c r="BU1" t="s">
        <v>127</v>
      </c>
      <c r="BV1" t="s">
        <v>128</v>
      </c>
      <c r="BW1" t="s">
        <v>129</v>
      </c>
      <c r="BX1" t="s">
        <v>130</v>
      </c>
      <c r="BY1" t="s">
        <v>131</v>
      </c>
      <c r="BZ1" t="s">
        <v>132</v>
      </c>
      <c r="CA1" t="s">
        <v>133</v>
      </c>
      <c r="CB1" t="s">
        <v>134</v>
      </c>
      <c r="CC1" t="s">
        <v>135</v>
      </c>
      <c r="CD1" t="s">
        <v>136</v>
      </c>
      <c r="CE1" t="s">
        <v>137</v>
      </c>
      <c r="CF1" t="s">
        <v>138</v>
      </c>
      <c r="CG1" t="s">
        <v>139</v>
      </c>
      <c r="CH1" t="s">
        <v>140</v>
      </c>
      <c r="CI1" t="s">
        <v>141</v>
      </c>
      <c r="CJ1" t="s">
        <v>142</v>
      </c>
      <c r="CK1" t="s">
        <v>143</v>
      </c>
      <c r="CL1" t="s">
        <v>144</v>
      </c>
      <c r="CM1" t="s">
        <v>160</v>
      </c>
      <c r="CN1" t="s">
        <v>161</v>
      </c>
      <c r="CO1" t="s">
        <v>162</v>
      </c>
      <c r="CP1" t="s">
        <v>163</v>
      </c>
      <c r="CQ1" t="s">
        <v>164</v>
      </c>
      <c r="CR1" t="s">
        <v>165</v>
      </c>
      <c r="CS1" t="s">
        <v>166</v>
      </c>
      <c r="CT1" t="s">
        <v>167</v>
      </c>
      <c r="CU1" t="s">
        <v>168</v>
      </c>
      <c r="CV1" t="s">
        <v>169</v>
      </c>
      <c r="CW1" t="s">
        <v>170</v>
      </c>
      <c r="CX1" t="s">
        <v>171</v>
      </c>
      <c r="CY1" t="s">
        <v>172</v>
      </c>
      <c r="CZ1" t="s">
        <v>173</v>
      </c>
      <c r="DA1" t="s">
        <v>174</v>
      </c>
      <c r="DB1" t="s">
        <v>175</v>
      </c>
      <c r="DC1" t="s">
        <v>176</v>
      </c>
      <c r="DD1" t="s">
        <v>177</v>
      </c>
      <c r="DE1" t="s">
        <v>178</v>
      </c>
      <c r="DF1" t="s">
        <v>179</v>
      </c>
      <c r="DG1" t="s">
        <v>180</v>
      </c>
      <c r="DH1" t="s">
        <v>181</v>
      </c>
      <c r="DI1" t="s">
        <v>182</v>
      </c>
      <c r="DJ1" t="s">
        <v>183</v>
      </c>
      <c r="DK1" t="s">
        <v>184</v>
      </c>
      <c r="DL1" t="s">
        <v>185</v>
      </c>
      <c r="DM1" t="s">
        <v>186</v>
      </c>
      <c r="DN1" t="s">
        <v>187</v>
      </c>
      <c r="DO1" t="s">
        <v>188</v>
      </c>
      <c r="DP1" t="s">
        <v>189</v>
      </c>
      <c r="DQ1" t="s">
        <v>190</v>
      </c>
      <c r="DR1" t="s">
        <v>191</v>
      </c>
      <c r="DS1" t="s">
        <v>192</v>
      </c>
      <c r="DT1" t="s">
        <v>193</v>
      </c>
      <c r="DU1" t="s">
        <v>194</v>
      </c>
      <c r="DV1" t="s">
        <v>195</v>
      </c>
      <c r="DW1" t="s">
        <v>196</v>
      </c>
      <c r="DX1" t="s">
        <v>197</v>
      </c>
      <c r="DY1" t="s">
        <v>198</v>
      </c>
      <c r="DZ1" t="s">
        <v>199</v>
      </c>
      <c r="EA1" t="s">
        <v>200</v>
      </c>
      <c r="EB1" t="s">
        <v>201</v>
      </c>
      <c r="EC1" t="s">
        <v>202</v>
      </c>
      <c r="ED1" t="s">
        <v>203</v>
      </c>
      <c r="EE1" t="s">
        <v>204</v>
      </c>
      <c r="EF1" t="s">
        <v>205</v>
      </c>
      <c r="EG1" t="s">
        <v>206</v>
      </c>
      <c r="EH1" t="s">
        <v>207</v>
      </c>
      <c r="EI1" t="s">
        <v>208</v>
      </c>
      <c r="EJ1" t="s">
        <v>209</v>
      </c>
      <c r="EK1" t="s">
        <v>210</v>
      </c>
      <c r="EL1" t="s">
        <v>211</v>
      </c>
      <c r="EM1" t="s">
        <v>212</v>
      </c>
      <c r="EN1" t="s">
        <v>213</v>
      </c>
      <c r="EO1" t="s">
        <v>214</v>
      </c>
      <c r="EP1" t="s">
        <v>215</v>
      </c>
      <c r="EQ1" t="s">
        <v>216</v>
      </c>
      <c r="ER1" t="s">
        <v>217</v>
      </c>
      <c r="ES1" t="s">
        <v>218</v>
      </c>
      <c r="ET1" t="s">
        <v>219</v>
      </c>
      <c r="EU1" t="s">
        <v>220</v>
      </c>
      <c r="EV1" t="s">
        <v>221</v>
      </c>
      <c r="EW1" t="s">
        <v>222</v>
      </c>
      <c r="EX1" t="s">
        <v>223</v>
      </c>
      <c r="EY1" t="s">
        <v>224</v>
      </c>
      <c r="EZ1" t="s">
        <v>225</v>
      </c>
      <c r="FA1" t="s">
        <v>226</v>
      </c>
      <c r="FB1" t="s">
        <v>227</v>
      </c>
      <c r="FC1" t="s">
        <v>228</v>
      </c>
      <c r="FD1" t="s">
        <v>229</v>
      </c>
      <c r="FE1" t="s">
        <v>230</v>
      </c>
      <c r="FF1" t="s">
        <v>231</v>
      </c>
      <c r="FG1" t="s">
        <v>232</v>
      </c>
      <c r="FH1" t="s">
        <v>233</v>
      </c>
      <c r="FI1" t="s">
        <v>234</v>
      </c>
      <c r="FJ1" t="s">
        <v>235</v>
      </c>
      <c r="FK1" t="s">
        <v>236</v>
      </c>
      <c r="FL1" t="s">
        <v>237</v>
      </c>
      <c r="FM1" t="s">
        <v>238</v>
      </c>
      <c r="FN1" t="s">
        <v>239</v>
      </c>
      <c r="FO1" t="s">
        <v>240</v>
      </c>
      <c r="FP1" t="s">
        <v>241</v>
      </c>
      <c r="FQ1" t="s">
        <v>242</v>
      </c>
      <c r="FR1" t="s">
        <v>243</v>
      </c>
      <c r="FS1" t="s">
        <v>244</v>
      </c>
      <c r="FT1" t="s">
        <v>245</v>
      </c>
      <c r="FU1" t="s">
        <v>246</v>
      </c>
      <c r="FV1" t="s">
        <v>247</v>
      </c>
    </row>
    <row r="2" spans="1:178" x14ac:dyDescent="0.25">
      <c r="A2">
        <v>7</v>
      </c>
      <c r="B2" t="str">
        <f>HYPERLINK("http://www.ncbi.nlm.nih.gov/protein/NP_004326.1","NP_004326.1")</f>
        <v>NP_004326.1</v>
      </c>
      <c r="C2">
        <v>2716670</v>
      </c>
      <c r="D2" t="str">
        <f>HYPERLINK("http://www.ncbi.nlm.nih.gov/Taxonomy/Browser/wwwtax.cgi?mode=Info&amp;id=9606&amp;lvl=3&amp;lin=f&amp;keep=1&amp;srchmode=1&amp;unlock","9606")</f>
        <v>9606</v>
      </c>
      <c r="E2" t="s">
        <v>66</v>
      </c>
      <c r="F2" t="str">
        <f>HYPERLINK("http://www.ncbi.nlm.nih.gov/Taxonomy/Browser/wwwtax.cgi?mode=Info&amp;id=9606&amp;lvl=3&amp;lin=f&amp;keep=1&amp;srchmode=1&amp;unlock","Homo sapiens")</f>
        <v>Homo sapiens</v>
      </c>
      <c r="G2" t="s">
        <v>67</v>
      </c>
      <c r="H2" t="str">
        <f>HYPERLINK("http://www.ncbi.nlm.nih.gov/protein/NP_004326.1","bone marrow stromal antigen 2 precursor")</f>
        <v>bone marrow stromal antigen 2 precursor</v>
      </c>
      <c r="I2" t="s">
        <v>248</v>
      </c>
      <c r="J2" t="s">
        <v>69</v>
      </c>
      <c r="K2">
        <v>48</v>
      </c>
      <c r="L2" t="s">
        <v>73</v>
      </c>
      <c r="M2" t="s">
        <v>69</v>
      </c>
      <c r="N2" t="s">
        <v>71</v>
      </c>
      <c r="O2" t="s">
        <v>69</v>
      </c>
      <c r="P2">
        <v>89.093999999999994</v>
      </c>
      <c r="Q2" t="s">
        <v>69</v>
      </c>
      <c r="R2" t="s">
        <v>69</v>
      </c>
      <c r="S2">
        <v>49</v>
      </c>
      <c r="T2" t="s">
        <v>153</v>
      </c>
      <c r="U2" t="s">
        <v>69</v>
      </c>
      <c r="V2" t="s">
        <v>148</v>
      </c>
      <c r="W2" t="s">
        <v>69</v>
      </c>
      <c r="X2">
        <v>132.119</v>
      </c>
      <c r="Y2" t="s">
        <v>69</v>
      </c>
      <c r="Z2" t="s">
        <v>69</v>
      </c>
      <c r="AA2">
        <v>50</v>
      </c>
      <c r="AB2" t="s">
        <v>155</v>
      </c>
      <c r="AC2" t="s">
        <v>69</v>
      </c>
      <c r="AD2" t="s">
        <v>150</v>
      </c>
      <c r="AE2" t="s">
        <v>69</v>
      </c>
      <c r="AF2">
        <v>105.093</v>
      </c>
      <c r="AG2" t="s">
        <v>69</v>
      </c>
      <c r="AH2" t="s">
        <v>69</v>
      </c>
      <c r="AI2">
        <v>51</v>
      </c>
      <c r="AJ2" t="s">
        <v>119</v>
      </c>
      <c r="AK2" t="s">
        <v>69</v>
      </c>
      <c r="AL2" t="s">
        <v>120</v>
      </c>
      <c r="AM2" t="s">
        <v>69</v>
      </c>
      <c r="AN2">
        <v>147.131</v>
      </c>
      <c r="AO2" t="s">
        <v>69</v>
      </c>
      <c r="AP2" t="s">
        <v>69</v>
      </c>
      <c r="AQ2">
        <v>52</v>
      </c>
      <c r="AR2" t="s">
        <v>73</v>
      </c>
      <c r="AS2" t="s">
        <v>69</v>
      </c>
      <c r="AT2" t="s">
        <v>71</v>
      </c>
      <c r="AU2" t="s">
        <v>69</v>
      </c>
      <c r="AV2">
        <v>89.093999999999994</v>
      </c>
      <c r="AW2" t="s">
        <v>69</v>
      </c>
      <c r="AX2" t="s">
        <v>69</v>
      </c>
      <c r="AY2">
        <v>53</v>
      </c>
      <c r="AZ2" t="s">
        <v>249</v>
      </c>
      <c r="BA2" t="s">
        <v>69</v>
      </c>
      <c r="BB2" t="s">
        <v>117</v>
      </c>
      <c r="BC2" t="s">
        <v>69</v>
      </c>
      <c r="BD2">
        <v>121.154</v>
      </c>
      <c r="BE2" t="s">
        <v>69</v>
      </c>
      <c r="BF2" t="s">
        <v>69</v>
      </c>
      <c r="BG2">
        <v>84</v>
      </c>
      <c r="BH2" t="s">
        <v>115</v>
      </c>
      <c r="BI2" t="s">
        <v>69</v>
      </c>
      <c r="BJ2" t="s">
        <v>71</v>
      </c>
      <c r="BK2" t="s">
        <v>69</v>
      </c>
      <c r="BL2">
        <v>117.148</v>
      </c>
      <c r="BM2" t="s">
        <v>69</v>
      </c>
      <c r="BN2" t="s">
        <v>69</v>
      </c>
      <c r="BO2">
        <v>85</v>
      </c>
      <c r="BP2" t="s">
        <v>119</v>
      </c>
      <c r="BQ2" t="s">
        <v>69</v>
      </c>
      <c r="BR2" t="s">
        <v>120</v>
      </c>
      <c r="BS2" t="s">
        <v>69</v>
      </c>
      <c r="BT2">
        <v>147.131</v>
      </c>
      <c r="BU2" t="s">
        <v>69</v>
      </c>
      <c r="BV2" t="s">
        <v>69</v>
      </c>
      <c r="BW2">
        <v>87</v>
      </c>
      <c r="BX2" t="s">
        <v>147</v>
      </c>
      <c r="BY2" t="s">
        <v>69</v>
      </c>
      <c r="BZ2" t="s">
        <v>148</v>
      </c>
      <c r="CA2" t="s">
        <v>69</v>
      </c>
      <c r="CB2">
        <v>146.14599999999999</v>
      </c>
      <c r="CC2" t="s">
        <v>69</v>
      </c>
      <c r="CD2" t="s">
        <v>69</v>
      </c>
      <c r="CE2">
        <v>88</v>
      </c>
      <c r="CF2" t="s">
        <v>73</v>
      </c>
      <c r="CG2" t="s">
        <v>69</v>
      </c>
      <c r="CH2" t="s">
        <v>71</v>
      </c>
      <c r="CI2" t="s">
        <v>69</v>
      </c>
      <c r="CJ2">
        <v>89.093999999999994</v>
      </c>
      <c r="CK2" t="s">
        <v>69</v>
      </c>
      <c r="CL2" t="s">
        <v>69</v>
      </c>
      <c r="CM2">
        <v>89</v>
      </c>
      <c r="CN2" t="s">
        <v>73</v>
      </c>
      <c r="CO2" t="s">
        <v>69</v>
      </c>
      <c r="CP2" t="s">
        <v>71</v>
      </c>
      <c r="CQ2" t="s">
        <v>69</v>
      </c>
      <c r="CR2">
        <v>89.093999999999994</v>
      </c>
      <c r="CS2" t="s">
        <v>69</v>
      </c>
      <c r="CT2" t="s">
        <v>69</v>
      </c>
      <c r="CU2">
        <v>91</v>
      </c>
      <c r="CV2" t="s">
        <v>249</v>
      </c>
      <c r="CW2" t="s">
        <v>69</v>
      </c>
      <c r="CX2" t="s">
        <v>117</v>
      </c>
      <c r="CY2" t="s">
        <v>69</v>
      </c>
      <c r="CZ2">
        <v>121.154</v>
      </c>
      <c r="DA2" t="s">
        <v>69</v>
      </c>
      <c r="DB2" t="s">
        <v>69</v>
      </c>
      <c r="DC2">
        <v>92</v>
      </c>
      <c r="DD2" t="s">
        <v>153</v>
      </c>
      <c r="DE2" t="s">
        <v>69</v>
      </c>
      <c r="DF2" t="s">
        <v>148</v>
      </c>
      <c r="DG2" t="s">
        <v>69</v>
      </c>
      <c r="DH2">
        <v>132.119</v>
      </c>
      <c r="DI2" t="s">
        <v>69</v>
      </c>
      <c r="DJ2" t="s">
        <v>69</v>
      </c>
      <c r="DK2">
        <v>105</v>
      </c>
      <c r="DL2" t="s">
        <v>119</v>
      </c>
      <c r="DM2" t="s">
        <v>69</v>
      </c>
      <c r="DN2" t="s">
        <v>120</v>
      </c>
      <c r="DO2" t="s">
        <v>69</v>
      </c>
      <c r="DP2">
        <v>147.131</v>
      </c>
      <c r="DQ2" t="s">
        <v>69</v>
      </c>
      <c r="DR2" t="s">
        <v>69</v>
      </c>
      <c r="DS2">
        <v>106</v>
      </c>
      <c r="DT2" t="s">
        <v>76</v>
      </c>
      <c r="DU2" t="s">
        <v>69</v>
      </c>
      <c r="DV2" t="s">
        <v>75</v>
      </c>
      <c r="DW2" t="s">
        <v>69</v>
      </c>
      <c r="DX2">
        <v>146.18899999999999</v>
      </c>
      <c r="DY2" t="s">
        <v>69</v>
      </c>
      <c r="DZ2" t="s">
        <v>69</v>
      </c>
      <c r="EA2">
        <v>108</v>
      </c>
      <c r="EB2" t="s">
        <v>147</v>
      </c>
      <c r="EC2" t="s">
        <v>69</v>
      </c>
      <c r="ED2" t="s">
        <v>148</v>
      </c>
      <c r="EE2" t="s">
        <v>69</v>
      </c>
      <c r="EF2">
        <v>146.14599999999999</v>
      </c>
      <c r="EG2" t="s">
        <v>69</v>
      </c>
      <c r="EH2" t="s">
        <v>69</v>
      </c>
      <c r="EI2">
        <v>109</v>
      </c>
      <c r="EJ2" t="s">
        <v>70</v>
      </c>
      <c r="EK2" t="s">
        <v>69</v>
      </c>
      <c r="EL2" t="s">
        <v>71</v>
      </c>
      <c r="EM2" t="s">
        <v>69</v>
      </c>
      <c r="EN2">
        <v>75.066999999999993</v>
      </c>
      <c r="EO2" t="s">
        <v>69</v>
      </c>
      <c r="EP2" t="s">
        <v>69</v>
      </c>
      <c r="EQ2">
        <v>110</v>
      </c>
      <c r="ER2" t="s">
        <v>147</v>
      </c>
      <c r="ES2" t="s">
        <v>69</v>
      </c>
      <c r="ET2" t="s">
        <v>148</v>
      </c>
      <c r="EU2" t="s">
        <v>69</v>
      </c>
      <c r="EV2">
        <v>146.14599999999999</v>
      </c>
      <c r="EW2" t="s">
        <v>69</v>
      </c>
      <c r="EX2" t="s">
        <v>69</v>
      </c>
      <c r="EY2">
        <v>112</v>
      </c>
      <c r="EZ2" t="s">
        <v>76</v>
      </c>
      <c r="FA2" t="s">
        <v>69</v>
      </c>
      <c r="FB2" t="s">
        <v>75</v>
      </c>
      <c r="FC2" t="s">
        <v>69</v>
      </c>
      <c r="FD2">
        <v>146.18899999999999</v>
      </c>
      <c r="FE2" t="s">
        <v>69</v>
      </c>
      <c r="FF2" t="s">
        <v>69</v>
      </c>
      <c r="FG2">
        <v>113</v>
      </c>
      <c r="FH2" t="s">
        <v>115</v>
      </c>
      <c r="FI2" t="s">
        <v>69</v>
      </c>
      <c r="FJ2" t="s">
        <v>71</v>
      </c>
      <c r="FK2" t="s">
        <v>69</v>
      </c>
      <c r="FL2">
        <v>117.148</v>
      </c>
      <c r="FM2" t="s">
        <v>69</v>
      </c>
      <c r="FN2" t="s">
        <v>69</v>
      </c>
      <c r="FO2">
        <v>117</v>
      </c>
      <c r="FP2" t="s">
        <v>119</v>
      </c>
      <c r="FQ2" t="s">
        <v>69</v>
      </c>
      <c r="FR2" t="s">
        <v>120</v>
      </c>
      <c r="FS2" t="s">
        <v>69</v>
      </c>
      <c r="FT2">
        <v>147.131</v>
      </c>
      <c r="FU2" t="s">
        <v>69</v>
      </c>
      <c r="FV2" t="s">
        <v>69</v>
      </c>
    </row>
    <row r="3" spans="1:178" x14ac:dyDescent="0.25">
      <c r="A3">
        <v>7</v>
      </c>
      <c r="B3" t="str">
        <f>HYPERLINK("http://www.ncbi.nlm.nih.gov/protein/XP_018869871.1","XP_018869871.1")</f>
        <v>XP_018869871.1</v>
      </c>
      <c r="C3">
        <v>52137</v>
      </c>
      <c r="D3" t="str">
        <f>HYPERLINK("http://www.ncbi.nlm.nih.gov/Taxonomy/Browser/wwwtax.cgi?mode=Info&amp;id=9595&amp;lvl=3&amp;lin=f&amp;keep=1&amp;srchmode=1&amp;unlock","9595")</f>
        <v>9595</v>
      </c>
      <c r="E3" t="s">
        <v>66</v>
      </c>
      <c r="F3" t="str">
        <f>HYPERLINK("http://www.ncbi.nlm.nih.gov/Taxonomy/Browser/wwwtax.cgi?mode=Info&amp;id=9595&amp;lvl=3&amp;lin=f&amp;keep=1&amp;srchmode=1&amp;unlock","Gorilla gorilla gorilla")</f>
        <v>Gorilla gorilla gorilla</v>
      </c>
      <c r="G3" t="s">
        <v>79</v>
      </c>
      <c r="H3" t="str">
        <f>HYPERLINK("http://www.ncbi.nlm.nih.gov/protein/XP_018869871.1","bone marrow stromal antigen 2 isoform X1")</f>
        <v>bone marrow stromal antigen 2 isoform X1</v>
      </c>
      <c r="I3" t="s">
        <v>248</v>
      </c>
      <c r="J3" t="s">
        <v>69</v>
      </c>
      <c r="K3">
        <v>53</v>
      </c>
      <c r="L3" t="s">
        <v>73</v>
      </c>
      <c r="M3" t="s">
        <v>69</v>
      </c>
      <c r="N3" t="s">
        <v>71</v>
      </c>
      <c r="O3" t="s">
        <v>69</v>
      </c>
      <c r="P3">
        <v>89.093999999999994</v>
      </c>
      <c r="Q3" t="s">
        <v>69</v>
      </c>
      <c r="R3" t="s">
        <v>69</v>
      </c>
      <c r="S3">
        <v>54</v>
      </c>
      <c r="T3" t="s">
        <v>153</v>
      </c>
      <c r="U3" t="s">
        <v>69</v>
      </c>
      <c r="V3" t="s">
        <v>148</v>
      </c>
      <c r="W3" t="s">
        <v>69</v>
      </c>
      <c r="X3">
        <v>132.119</v>
      </c>
      <c r="Y3" t="s">
        <v>69</v>
      </c>
      <c r="Z3" t="s">
        <v>69</v>
      </c>
      <c r="AA3">
        <v>55</v>
      </c>
      <c r="AB3" t="s">
        <v>155</v>
      </c>
      <c r="AC3" t="s">
        <v>69</v>
      </c>
      <c r="AD3" t="s">
        <v>150</v>
      </c>
      <c r="AE3" t="s">
        <v>69</v>
      </c>
      <c r="AF3">
        <v>105.093</v>
      </c>
      <c r="AG3" t="s">
        <v>69</v>
      </c>
      <c r="AH3" t="s">
        <v>69</v>
      </c>
      <c r="AI3">
        <v>56</v>
      </c>
      <c r="AJ3" t="s">
        <v>119</v>
      </c>
      <c r="AK3" t="s">
        <v>69</v>
      </c>
      <c r="AL3" t="s">
        <v>120</v>
      </c>
      <c r="AM3" t="s">
        <v>69</v>
      </c>
      <c r="AN3">
        <v>147.131</v>
      </c>
      <c r="AO3" t="s">
        <v>69</v>
      </c>
      <c r="AP3" t="s">
        <v>69</v>
      </c>
      <c r="AQ3">
        <v>57</v>
      </c>
      <c r="AR3" t="s">
        <v>73</v>
      </c>
      <c r="AS3" t="s">
        <v>69</v>
      </c>
      <c r="AT3" t="s">
        <v>71</v>
      </c>
      <c r="AU3" t="s">
        <v>69</v>
      </c>
      <c r="AV3">
        <v>89.093999999999994</v>
      </c>
      <c r="AW3" t="s">
        <v>69</v>
      </c>
      <c r="AX3" t="s">
        <v>69</v>
      </c>
      <c r="AY3">
        <v>58</v>
      </c>
      <c r="AZ3" t="s">
        <v>249</v>
      </c>
      <c r="BA3" t="s">
        <v>69</v>
      </c>
      <c r="BB3" t="s">
        <v>117</v>
      </c>
      <c r="BC3" t="s">
        <v>69</v>
      </c>
      <c r="BD3">
        <v>121.154</v>
      </c>
      <c r="BE3" t="s">
        <v>69</v>
      </c>
      <c r="BF3" t="s">
        <v>69</v>
      </c>
      <c r="BG3">
        <v>89</v>
      </c>
      <c r="BH3" t="s">
        <v>115</v>
      </c>
      <c r="BI3" t="s">
        <v>69</v>
      </c>
      <c r="BJ3" t="s">
        <v>71</v>
      </c>
      <c r="BK3" t="s">
        <v>69</v>
      </c>
      <c r="BL3">
        <v>117.148</v>
      </c>
      <c r="BM3" t="s">
        <v>69</v>
      </c>
      <c r="BN3" t="s">
        <v>69</v>
      </c>
      <c r="BO3">
        <v>90</v>
      </c>
      <c r="BP3" t="s">
        <v>119</v>
      </c>
      <c r="BQ3" t="s">
        <v>69</v>
      </c>
      <c r="BR3" t="s">
        <v>120</v>
      </c>
      <c r="BS3" t="s">
        <v>69</v>
      </c>
      <c r="BT3">
        <v>147.131</v>
      </c>
      <c r="BU3" t="s">
        <v>69</v>
      </c>
      <c r="BV3" t="s">
        <v>69</v>
      </c>
      <c r="BW3">
        <v>92</v>
      </c>
      <c r="BX3" t="s">
        <v>147</v>
      </c>
      <c r="BY3" t="s">
        <v>69</v>
      </c>
      <c r="BZ3" t="s">
        <v>148</v>
      </c>
      <c r="CA3" t="s">
        <v>69</v>
      </c>
      <c r="CB3">
        <v>146.14599999999999</v>
      </c>
      <c r="CC3" t="s">
        <v>69</v>
      </c>
      <c r="CD3" t="s">
        <v>69</v>
      </c>
      <c r="CE3">
        <v>93</v>
      </c>
      <c r="CF3" t="s">
        <v>73</v>
      </c>
      <c r="CG3" t="s">
        <v>69</v>
      </c>
      <c r="CH3" t="s">
        <v>71</v>
      </c>
      <c r="CI3" t="s">
        <v>69</v>
      </c>
      <c r="CJ3">
        <v>89.093999999999994</v>
      </c>
      <c r="CK3" t="s">
        <v>69</v>
      </c>
      <c r="CL3" t="s">
        <v>69</v>
      </c>
      <c r="CM3">
        <v>94</v>
      </c>
      <c r="CN3" t="s">
        <v>73</v>
      </c>
      <c r="CO3" t="s">
        <v>69</v>
      </c>
      <c r="CP3" t="s">
        <v>71</v>
      </c>
      <c r="CQ3" t="s">
        <v>69</v>
      </c>
      <c r="CR3">
        <v>89.093999999999994</v>
      </c>
      <c r="CS3" t="s">
        <v>69</v>
      </c>
      <c r="CT3" t="s">
        <v>69</v>
      </c>
      <c r="CU3">
        <v>96</v>
      </c>
      <c r="CV3" t="s">
        <v>249</v>
      </c>
      <c r="CW3" t="s">
        <v>69</v>
      </c>
      <c r="CX3" t="s">
        <v>117</v>
      </c>
      <c r="CY3" t="s">
        <v>69</v>
      </c>
      <c r="CZ3">
        <v>121.154</v>
      </c>
      <c r="DA3" t="s">
        <v>69</v>
      </c>
      <c r="DB3" t="s">
        <v>69</v>
      </c>
      <c r="DC3">
        <v>97</v>
      </c>
      <c r="DD3" t="s">
        <v>153</v>
      </c>
      <c r="DE3" t="s">
        <v>69</v>
      </c>
      <c r="DF3" t="s">
        <v>148</v>
      </c>
      <c r="DG3" t="s">
        <v>69</v>
      </c>
      <c r="DH3">
        <v>132.119</v>
      </c>
      <c r="DI3" t="s">
        <v>69</v>
      </c>
      <c r="DJ3" t="s">
        <v>69</v>
      </c>
      <c r="DK3">
        <v>110</v>
      </c>
      <c r="DL3" t="s">
        <v>119</v>
      </c>
      <c r="DM3" t="s">
        <v>69</v>
      </c>
      <c r="DN3" t="s">
        <v>120</v>
      </c>
      <c r="DO3" t="s">
        <v>69</v>
      </c>
      <c r="DP3">
        <v>147.131</v>
      </c>
      <c r="DQ3" t="s">
        <v>69</v>
      </c>
      <c r="DR3" t="s">
        <v>69</v>
      </c>
      <c r="DS3">
        <v>111</v>
      </c>
      <c r="DT3" t="s">
        <v>76</v>
      </c>
      <c r="DU3" t="s">
        <v>69</v>
      </c>
      <c r="DV3" t="s">
        <v>75</v>
      </c>
      <c r="DW3" t="s">
        <v>69</v>
      </c>
      <c r="DX3">
        <v>146.18899999999999</v>
      </c>
      <c r="DY3" t="s">
        <v>69</v>
      </c>
      <c r="DZ3" t="s">
        <v>69</v>
      </c>
      <c r="EA3">
        <v>113</v>
      </c>
      <c r="EB3" t="s">
        <v>147</v>
      </c>
      <c r="EC3" t="s">
        <v>69</v>
      </c>
      <c r="ED3" t="s">
        <v>148</v>
      </c>
      <c r="EE3" t="s">
        <v>69</v>
      </c>
      <c r="EF3">
        <v>146.14599999999999</v>
      </c>
      <c r="EG3" t="s">
        <v>69</v>
      </c>
      <c r="EH3" t="s">
        <v>69</v>
      </c>
      <c r="EI3">
        <v>114</v>
      </c>
      <c r="EJ3" t="s">
        <v>70</v>
      </c>
      <c r="EK3" t="s">
        <v>69</v>
      </c>
      <c r="EL3" t="s">
        <v>71</v>
      </c>
      <c r="EM3" t="s">
        <v>69</v>
      </c>
      <c r="EN3">
        <v>75.066999999999993</v>
      </c>
      <c r="EO3" t="s">
        <v>69</v>
      </c>
      <c r="EP3" t="s">
        <v>69</v>
      </c>
      <c r="EQ3">
        <v>115</v>
      </c>
      <c r="ER3" t="s">
        <v>147</v>
      </c>
      <c r="ES3" t="s">
        <v>69</v>
      </c>
      <c r="ET3" t="s">
        <v>148</v>
      </c>
      <c r="EU3" t="s">
        <v>69</v>
      </c>
      <c r="EV3">
        <v>146.14599999999999</v>
      </c>
      <c r="EW3" t="s">
        <v>69</v>
      </c>
      <c r="EX3" t="s">
        <v>69</v>
      </c>
      <c r="EY3">
        <v>117</v>
      </c>
      <c r="EZ3" t="s">
        <v>76</v>
      </c>
      <c r="FA3" t="s">
        <v>69</v>
      </c>
      <c r="FB3" t="s">
        <v>75</v>
      </c>
      <c r="FC3" t="s">
        <v>69</v>
      </c>
      <c r="FD3">
        <v>146.18899999999999</v>
      </c>
      <c r="FE3" t="s">
        <v>69</v>
      </c>
      <c r="FF3" t="s">
        <v>69</v>
      </c>
      <c r="FG3">
        <v>118</v>
      </c>
      <c r="FH3" t="s">
        <v>115</v>
      </c>
      <c r="FI3" t="s">
        <v>69</v>
      </c>
      <c r="FJ3" t="s">
        <v>71</v>
      </c>
      <c r="FK3" t="s">
        <v>69</v>
      </c>
      <c r="FL3">
        <v>117.148</v>
      </c>
      <c r="FM3" t="s">
        <v>69</v>
      </c>
      <c r="FN3" t="s">
        <v>69</v>
      </c>
      <c r="FO3">
        <v>122</v>
      </c>
      <c r="FP3" t="s">
        <v>119</v>
      </c>
      <c r="FQ3" t="s">
        <v>69</v>
      </c>
      <c r="FR3" t="s">
        <v>120</v>
      </c>
      <c r="FS3" t="s">
        <v>69</v>
      </c>
      <c r="FT3">
        <v>147.131</v>
      </c>
      <c r="FU3" t="s">
        <v>69</v>
      </c>
      <c r="FV3" t="s">
        <v>69</v>
      </c>
    </row>
    <row r="4" spans="1:178" x14ac:dyDescent="0.25">
      <c r="A4">
        <v>7</v>
      </c>
      <c r="B4" t="str">
        <f>HYPERLINK("http://www.ncbi.nlm.nih.gov/protein/XP_007993912.1","XP_007993912.1")</f>
        <v>XP_007993912.1</v>
      </c>
      <c r="C4">
        <v>62302</v>
      </c>
      <c r="D4" t="str">
        <f>HYPERLINK("http://www.ncbi.nlm.nih.gov/Taxonomy/Browser/wwwtax.cgi?mode=Info&amp;id=60711&amp;lvl=3&amp;lin=f&amp;keep=1&amp;srchmode=1&amp;unlock","60711")</f>
        <v>60711</v>
      </c>
      <c r="E4" t="s">
        <v>66</v>
      </c>
      <c r="F4" t="str">
        <f>HYPERLINK("http://www.ncbi.nlm.nih.gov/Taxonomy/Browser/wwwtax.cgi?mode=Info&amp;id=60711&amp;lvl=3&amp;lin=f&amp;keep=1&amp;srchmode=1&amp;unlock","Chlorocebus sabaeus")</f>
        <v>Chlorocebus sabaeus</v>
      </c>
      <c r="G4" t="s">
        <v>78</v>
      </c>
      <c r="H4" t="str">
        <f>HYPERLINK("http://www.ncbi.nlm.nih.gov/protein/XP_007993912.1","bone marrow stromal antigen 2")</f>
        <v>bone marrow stromal antigen 2</v>
      </c>
      <c r="I4" t="s">
        <v>248</v>
      </c>
      <c r="J4" t="s">
        <v>69</v>
      </c>
      <c r="K4">
        <v>51</v>
      </c>
      <c r="L4" t="s">
        <v>73</v>
      </c>
      <c r="M4" t="s">
        <v>69</v>
      </c>
      <c r="N4" t="s">
        <v>71</v>
      </c>
      <c r="O4" t="s">
        <v>69</v>
      </c>
      <c r="P4">
        <v>89.093999999999994</v>
      </c>
      <c r="Q4" t="s">
        <v>69</v>
      </c>
      <c r="R4" t="s">
        <v>69</v>
      </c>
      <c r="S4">
        <v>52</v>
      </c>
      <c r="T4" t="s">
        <v>153</v>
      </c>
      <c r="U4" t="s">
        <v>69</v>
      </c>
      <c r="V4" t="s">
        <v>148</v>
      </c>
      <c r="W4" t="s">
        <v>69</v>
      </c>
      <c r="X4">
        <v>132.119</v>
      </c>
      <c r="Y4" t="s">
        <v>69</v>
      </c>
      <c r="Z4" t="s">
        <v>69</v>
      </c>
      <c r="AA4">
        <v>53</v>
      </c>
      <c r="AB4" t="s">
        <v>155</v>
      </c>
      <c r="AC4" t="s">
        <v>69</v>
      </c>
      <c r="AD4" t="s">
        <v>150</v>
      </c>
      <c r="AE4" t="s">
        <v>69</v>
      </c>
      <c r="AF4">
        <v>105.093</v>
      </c>
      <c r="AG4" t="s">
        <v>69</v>
      </c>
      <c r="AH4" t="s">
        <v>69</v>
      </c>
      <c r="AI4">
        <v>54</v>
      </c>
      <c r="AJ4" t="s">
        <v>119</v>
      </c>
      <c r="AK4" t="s">
        <v>69</v>
      </c>
      <c r="AL4" t="s">
        <v>120</v>
      </c>
      <c r="AM4" t="s">
        <v>69</v>
      </c>
      <c r="AN4">
        <v>147.131</v>
      </c>
      <c r="AO4" t="s">
        <v>69</v>
      </c>
      <c r="AP4" t="s">
        <v>69</v>
      </c>
      <c r="AQ4">
        <v>55</v>
      </c>
      <c r="AR4" t="s">
        <v>73</v>
      </c>
      <c r="AS4" t="s">
        <v>69</v>
      </c>
      <c r="AT4" t="s">
        <v>71</v>
      </c>
      <c r="AU4" t="s">
        <v>69</v>
      </c>
      <c r="AV4">
        <v>89.093999999999994</v>
      </c>
      <c r="AW4" t="s">
        <v>69</v>
      </c>
      <c r="AX4" t="s">
        <v>69</v>
      </c>
      <c r="AY4">
        <v>56</v>
      </c>
      <c r="AZ4" t="s">
        <v>249</v>
      </c>
      <c r="BA4" t="s">
        <v>69</v>
      </c>
      <c r="BB4" t="s">
        <v>117</v>
      </c>
      <c r="BC4" t="s">
        <v>69</v>
      </c>
      <c r="BD4">
        <v>121.154</v>
      </c>
      <c r="BE4" t="s">
        <v>69</v>
      </c>
      <c r="BF4" t="s">
        <v>69</v>
      </c>
      <c r="BG4">
        <v>87</v>
      </c>
      <c r="BH4" t="s">
        <v>73</v>
      </c>
      <c r="BI4" t="s">
        <v>153</v>
      </c>
      <c r="BJ4" t="s">
        <v>71</v>
      </c>
      <c r="BK4" t="s">
        <v>69</v>
      </c>
      <c r="BL4">
        <v>89.093999999999994</v>
      </c>
      <c r="BM4" t="s">
        <v>69</v>
      </c>
      <c r="BN4" t="s">
        <v>69</v>
      </c>
      <c r="BO4">
        <v>88</v>
      </c>
      <c r="BP4" t="s">
        <v>119</v>
      </c>
      <c r="BQ4" t="s">
        <v>69</v>
      </c>
      <c r="BR4" t="s">
        <v>120</v>
      </c>
      <c r="BS4" t="s">
        <v>69</v>
      </c>
      <c r="BT4">
        <v>147.131</v>
      </c>
      <c r="BU4" t="s">
        <v>69</v>
      </c>
      <c r="BV4" t="s">
        <v>69</v>
      </c>
      <c r="BW4">
        <v>90</v>
      </c>
      <c r="BX4" t="s">
        <v>147</v>
      </c>
      <c r="BY4" t="s">
        <v>69</v>
      </c>
      <c r="BZ4" t="s">
        <v>148</v>
      </c>
      <c r="CA4" t="s">
        <v>69</v>
      </c>
      <c r="CB4">
        <v>146.14599999999999</v>
      </c>
      <c r="CC4" t="s">
        <v>69</v>
      </c>
      <c r="CD4" t="s">
        <v>69</v>
      </c>
      <c r="CE4">
        <v>91</v>
      </c>
      <c r="CF4" t="s">
        <v>73</v>
      </c>
      <c r="CG4" t="s">
        <v>69</v>
      </c>
      <c r="CH4" t="s">
        <v>71</v>
      </c>
      <c r="CI4" t="s">
        <v>69</v>
      </c>
      <c r="CJ4">
        <v>89.093999999999994</v>
      </c>
      <c r="CK4" t="s">
        <v>69</v>
      </c>
      <c r="CL4" t="s">
        <v>69</v>
      </c>
      <c r="CM4">
        <v>92</v>
      </c>
      <c r="CN4" t="s">
        <v>115</v>
      </c>
      <c r="CO4" t="s">
        <v>153</v>
      </c>
      <c r="CP4" t="s">
        <v>71</v>
      </c>
      <c r="CQ4" t="s">
        <v>69</v>
      </c>
      <c r="CR4">
        <v>117.148</v>
      </c>
      <c r="CS4" t="s">
        <v>69</v>
      </c>
      <c r="CT4" t="s">
        <v>69</v>
      </c>
      <c r="CU4">
        <v>94</v>
      </c>
      <c r="CV4" t="s">
        <v>249</v>
      </c>
      <c r="CW4" t="s">
        <v>69</v>
      </c>
      <c r="CX4" t="s">
        <v>117</v>
      </c>
      <c r="CY4" t="s">
        <v>69</v>
      </c>
      <c r="CZ4">
        <v>121.154</v>
      </c>
      <c r="DA4" t="s">
        <v>69</v>
      </c>
      <c r="DB4" t="s">
        <v>69</v>
      </c>
      <c r="DC4">
        <v>95</v>
      </c>
      <c r="DD4" t="s">
        <v>153</v>
      </c>
      <c r="DE4" t="s">
        <v>69</v>
      </c>
      <c r="DF4" t="s">
        <v>148</v>
      </c>
      <c r="DG4" t="s">
        <v>69</v>
      </c>
      <c r="DH4">
        <v>132.119</v>
      </c>
      <c r="DI4" t="s">
        <v>69</v>
      </c>
      <c r="DJ4" t="s">
        <v>69</v>
      </c>
      <c r="DK4">
        <v>108</v>
      </c>
      <c r="DL4" t="s">
        <v>119</v>
      </c>
      <c r="DM4" t="s">
        <v>69</v>
      </c>
      <c r="DN4" t="s">
        <v>120</v>
      </c>
      <c r="DO4" t="s">
        <v>69</v>
      </c>
      <c r="DP4">
        <v>147.131</v>
      </c>
      <c r="DQ4" t="s">
        <v>69</v>
      </c>
      <c r="DR4" t="s">
        <v>69</v>
      </c>
      <c r="DS4">
        <v>109</v>
      </c>
      <c r="DT4" t="s">
        <v>76</v>
      </c>
      <c r="DU4" t="s">
        <v>69</v>
      </c>
      <c r="DV4" t="s">
        <v>75</v>
      </c>
      <c r="DW4" t="s">
        <v>69</v>
      </c>
      <c r="DX4">
        <v>146.18899999999999</v>
      </c>
      <c r="DY4" t="s">
        <v>69</v>
      </c>
      <c r="DZ4" t="s">
        <v>69</v>
      </c>
      <c r="EA4">
        <v>111</v>
      </c>
      <c r="EB4" t="s">
        <v>147</v>
      </c>
      <c r="EC4" t="s">
        <v>69</v>
      </c>
      <c r="ED4" t="s">
        <v>148</v>
      </c>
      <c r="EE4" t="s">
        <v>69</v>
      </c>
      <c r="EF4">
        <v>146.14599999999999</v>
      </c>
      <c r="EG4" t="s">
        <v>69</v>
      </c>
      <c r="EH4" t="s">
        <v>69</v>
      </c>
      <c r="EI4">
        <v>112</v>
      </c>
      <c r="EJ4" t="s">
        <v>70</v>
      </c>
      <c r="EK4" t="s">
        <v>69</v>
      </c>
      <c r="EL4" t="s">
        <v>71</v>
      </c>
      <c r="EM4" t="s">
        <v>69</v>
      </c>
      <c r="EN4">
        <v>75.066999999999993</v>
      </c>
      <c r="EO4" t="s">
        <v>69</v>
      </c>
      <c r="EP4" t="s">
        <v>69</v>
      </c>
      <c r="EQ4">
        <v>113</v>
      </c>
      <c r="ER4" t="s">
        <v>74</v>
      </c>
      <c r="ES4" t="s">
        <v>153</v>
      </c>
      <c r="ET4" t="s">
        <v>75</v>
      </c>
      <c r="EU4" t="s">
        <v>153</v>
      </c>
      <c r="EV4">
        <v>174.203</v>
      </c>
      <c r="EW4" t="s">
        <v>69</v>
      </c>
      <c r="EX4" t="s">
        <v>69</v>
      </c>
      <c r="EY4">
        <v>115</v>
      </c>
      <c r="EZ4" t="s">
        <v>76</v>
      </c>
      <c r="FA4" t="s">
        <v>69</v>
      </c>
      <c r="FB4" t="s">
        <v>75</v>
      </c>
      <c r="FC4" t="s">
        <v>69</v>
      </c>
      <c r="FD4">
        <v>146.18899999999999</v>
      </c>
      <c r="FE4" t="s">
        <v>69</v>
      </c>
      <c r="FF4" t="s">
        <v>69</v>
      </c>
      <c r="FG4">
        <v>116</v>
      </c>
      <c r="FH4" t="s">
        <v>115</v>
      </c>
      <c r="FI4" t="s">
        <v>69</v>
      </c>
      <c r="FJ4" t="s">
        <v>71</v>
      </c>
      <c r="FK4" t="s">
        <v>69</v>
      </c>
      <c r="FL4">
        <v>117.148</v>
      </c>
      <c r="FM4" t="s">
        <v>69</v>
      </c>
      <c r="FN4" t="s">
        <v>69</v>
      </c>
      <c r="FO4">
        <v>120</v>
      </c>
      <c r="FP4" t="s">
        <v>119</v>
      </c>
      <c r="FQ4" t="s">
        <v>69</v>
      </c>
      <c r="FR4" t="s">
        <v>120</v>
      </c>
      <c r="FS4" t="s">
        <v>69</v>
      </c>
      <c r="FT4">
        <v>147.131</v>
      </c>
      <c r="FU4" t="s">
        <v>69</v>
      </c>
      <c r="FV4" t="s">
        <v>69</v>
      </c>
    </row>
    <row r="5" spans="1:178" x14ac:dyDescent="0.25">
      <c r="A5">
        <v>7</v>
      </c>
      <c r="B5" t="str">
        <f>HYPERLINK("http://www.ncbi.nlm.nih.gov/protein/AXR71172.1","AXR71172.1")</f>
        <v>AXR71172.1</v>
      </c>
      <c r="C5">
        <v>178339</v>
      </c>
      <c r="D5" t="str">
        <f>HYPERLINK("http://www.ncbi.nlm.nih.gov/Taxonomy/Browser/wwwtax.cgi?mode=Info&amp;id=9544&amp;lvl=3&amp;lin=f&amp;keep=1&amp;srchmode=1&amp;unlock","9544")</f>
        <v>9544</v>
      </c>
      <c r="E5" t="s">
        <v>66</v>
      </c>
      <c r="F5" t="str">
        <f>HYPERLINK("http://www.ncbi.nlm.nih.gov/Taxonomy/Browser/wwwtax.cgi?mode=Info&amp;id=9544&amp;lvl=3&amp;lin=f&amp;keep=1&amp;srchmode=1&amp;unlock","Macaca mulatta")</f>
        <v>Macaca mulatta</v>
      </c>
      <c r="G5" t="s">
        <v>77</v>
      </c>
      <c r="H5" t="str">
        <f>HYPERLINK("http://www.ncbi.nlm.nih.gov/protein/AXR71172.1","BST2.11")</f>
        <v>BST2.11</v>
      </c>
      <c r="I5" t="s">
        <v>248</v>
      </c>
      <c r="J5" t="s">
        <v>69</v>
      </c>
      <c r="K5">
        <v>51</v>
      </c>
      <c r="L5" t="s">
        <v>73</v>
      </c>
      <c r="M5" t="s">
        <v>69</v>
      </c>
      <c r="N5" t="s">
        <v>71</v>
      </c>
      <c r="O5" t="s">
        <v>69</v>
      </c>
      <c r="P5">
        <v>89.093999999999994</v>
      </c>
      <c r="Q5" t="s">
        <v>69</v>
      </c>
      <c r="R5" t="s">
        <v>69</v>
      </c>
      <c r="S5">
        <v>52</v>
      </c>
      <c r="T5" t="s">
        <v>153</v>
      </c>
      <c r="U5" t="s">
        <v>69</v>
      </c>
      <c r="V5" t="s">
        <v>148</v>
      </c>
      <c r="W5" t="s">
        <v>69</v>
      </c>
      <c r="X5">
        <v>132.119</v>
      </c>
      <c r="Y5" t="s">
        <v>69</v>
      </c>
      <c r="Z5" t="s">
        <v>69</v>
      </c>
      <c r="AA5">
        <v>53</v>
      </c>
      <c r="AB5" t="s">
        <v>155</v>
      </c>
      <c r="AC5" t="s">
        <v>69</v>
      </c>
      <c r="AD5" t="s">
        <v>150</v>
      </c>
      <c r="AE5" t="s">
        <v>69</v>
      </c>
      <c r="AF5">
        <v>105.093</v>
      </c>
      <c r="AG5" t="s">
        <v>69</v>
      </c>
      <c r="AH5" t="s">
        <v>69</v>
      </c>
      <c r="AI5">
        <v>54</v>
      </c>
      <c r="AJ5" t="s">
        <v>119</v>
      </c>
      <c r="AK5" t="s">
        <v>69</v>
      </c>
      <c r="AL5" t="s">
        <v>120</v>
      </c>
      <c r="AM5" t="s">
        <v>69</v>
      </c>
      <c r="AN5">
        <v>147.131</v>
      </c>
      <c r="AO5" t="s">
        <v>69</v>
      </c>
      <c r="AP5" t="s">
        <v>69</v>
      </c>
      <c r="AQ5">
        <v>55</v>
      </c>
      <c r="AR5" t="s">
        <v>73</v>
      </c>
      <c r="AS5" t="s">
        <v>69</v>
      </c>
      <c r="AT5" t="s">
        <v>71</v>
      </c>
      <c r="AU5" t="s">
        <v>69</v>
      </c>
      <c r="AV5">
        <v>89.093999999999994</v>
      </c>
      <c r="AW5" t="s">
        <v>69</v>
      </c>
      <c r="AX5" t="s">
        <v>69</v>
      </c>
      <c r="AY5">
        <v>56</v>
      </c>
      <c r="AZ5" t="s">
        <v>249</v>
      </c>
      <c r="BA5" t="s">
        <v>69</v>
      </c>
      <c r="BB5" t="s">
        <v>117</v>
      </c>
      <c r="BC5" t="s">
        <v>69</v>
      </c>
      <c r="BD5">
        <v>121.154</v>
      </c>
      <c r="BE5" t="s">
        <v>69</v>
      </c>
      <c r="BF5" t="s">
        <v>69</v>
      </c>
      <c r="BG5">
        <v>87</v>
      </c>
      <c r="BH5" t="s">
        <v>73</v>
      </c>
      <c r="BI5" t="s">
        <v>153</v>
      </c>
      <c r="BJ5" t="s">
        <v>71</v>
      </c>
      <c r="BK5" t="s">
        <v>69</v>
      </c>
      <c r="BL5">
        <v>89.093999999999994</v>
      </c>
      <c r="BM5" t="s">
        <v>69</v>
      </c>
      <c r="BN5" t="s">
        <v>69</v>
      </c>
      <c r="BO5">
        <v>88</v>
      </c>
      <c r="BP5" t="s">
        <v>119</v>
      </c>
      <c r="BQ5" t="s">
        <v>69</v>
      </c>
      <c r="BR5" t="s">
        <v>120</v>
      </c>
      <c r="BS5" t="s">
        <v>69</v>
      </c>
      <c r="BT5">
        <v>147.131</v>
      </c>
      <c r="BU5" t="s">
        <v>69</v>
      </c>
      <c r="BV5" t="s">
        <v>69</v>
      </c>
      <c r="BW5">
        <v>90</v>
      </c>
      <c r="BX5" t="s">
        <v>147</v>
      </c>
      <c r="BY5" t="s">
        <v>69</v>
      </c>
      <c r="BZ5" t="s">
        <v>148</v>
      </c>
      <c r="CA5" t="s">
        <v>69</v>
      </c>
      <c r="CB5">
        <v>146.14599999999999</v>
      </c>
      <c r="CC5" t="s">
        <v>69</v>
      </c>
      <c r="CD5" t="s">
        <v>69</v>
      </c>
      <c r="CE5">
        <v>91</v>
      </c>
      <c r="CF5" t="s">
        <v>73</v>
      </c>
      <c r="CG5" t="s">
        <v>69</v>
      </c>
      <c r="CH5" t="s">
        <v>71</v>
      </c>
      <c r="CI5" t="s">
        <v>69</v>
      </c>
      <c r="CJ5">
        <v>89.093999999999994</v>
      </c>
      <c r="CK5" t="s">
        <v>69</v>
      </c>
      <c r="CL5" t="s">
        <v>69</v>
      </c>
      <c r="CM5">
        <v>92</v>
      </c>
      <c r="CN5" t="s">
        <v>115</v>
      </c>
      <c r="CO5" t="s">
        <v>153</v>
      </c>
      <c r="CP5" t="s">
        <v>71</v>
      </c>
      <c r="CQ5" t="s">
        <v>69</v>
      </c>
      <c r="CR5">
        <v>117.148</v>
      </c>
      <c r="CS5" t="s">
        <v>69</v>
      </c>
      <c r="CT5" t="s">
        <v>69</v>
      </c>
      <c r="CU5">
        <v>94</v>
      </c>
      <c r="CV5" t="s">
        <v>249</v>
      </c>
      <c r="CW5" t="s">
        <v>69</v>
      </c>
      <c r="CX5" t="s">
        <v>117</v>
      </c>
      <c r="CY5" t="s">
        <v>69</v>
      </c>
      <c r="CZ5">
        <v>121.154</v>
      </c>
      <c r="DA5" t="s">
        <v>69</v>
      </c>
      <c r="DB5" t="s">
        <v>69</v>
      </c>
      <c r="DC5">
        <v>95</v>
      </c>
      <c r="DD5" t="s">
        <v>153</v>
      </c>
      <c r="DE5" t="s">
        <v>69</v>
      </c>
      <c r="DF5" t="s">
        <v>148</v>
      </c>
      <c r="DG5" t="s">
        <v>69</v>
      </c>
      <c r="DH5">
        <v>132.119</v>
      </c>
      <c r="DI5" t="s">
        <v>69</v>
      </c>
      <c r="DJ5" t="s">
        <v>69</v>
      </c>
      <c r="DK5">
        <v>108</v>
      </c>
      <c r="DL5" t="s">
        <v>119</v>
      </c>
      <c r="DM5" t="s">
        <v>69</v>
      </c>
      <c r="DN5" t="s">
        <v>120</v>
      </c>
      <c r="DO5" t="s">
        <v>69</v>
      </c>
      <c r="DP5">
        <v>147.131</v>
      </c>
      <c r="DQ5" t="s">
        <v>69</v>
      </c>
      <c r="DR5" t="s">
        <v>69</v>
      </c>
      <c r="DS5">
        <v>109</v>
      </c>
      <c r="DT5" t="s">
        <v>76</v>
      </c>
      <c r="DU5" t="s">
        <v>69</v>
      </c>
      <c r="DV5" t="s">
        <v>75</v>
      </c>
      <c r="DW5" t="s">
        <v>69</v>
      </c>
      <c r="DX5">
        <v>146.18899999999999</v>
      </c>
      <c r="DY5" t="s">
        <v>69</v>
      </c>
      <c r="DZ5" t="s">
        <v>69</v>
      </c>
      <c r="EA5">
        <v>111</v>
      </c>
      <c r="EB5" t="s">
        <v>147</v>
      </c>
      <c r="EC5" t="s">
        <v>69</v>
      </c>
      <c r="ED5" t="s">
        <v>148</v>
      </c>
      <c r="EE5" t="s">
        <v>69</v>
      </c>
      <c r="EF5">
        <v>146.14599999999999</v>
      </c>
      <c r="EG5" t="s">
        <v>69</v>
      </c>
      <c r="EH5" t="s">
        <v>69</v>
      </c>
      <c r="EI5">
        <v>112</v>
      </c>
      <c r="EJ5" t="s">
        <v>70</v>
      </c>
      <c r="EK5" t="s">
        <v>69</v>
      </c>
      <c r="EL5" t="s">
        <v>71</v>
      </c>
      <c r="EM5" t="s">
        <v>69</v>
      </c>
      <c r="EN5">
        <v>75.066999999999993</v>
      </c>
      <c r="EO5" t="s">
        <v>69</v>
      </c>
      <c r="EP5" t="s">
        <v>69</v>
      </c>
      <c r="EQ5">
        <v>113</v>
      </c>
      <c r="ER5" t="s">
        <v>74</v>
      </c>
      <c r="ES5" t="s">
        <v>153</v>
      </c>
      <c r="ET5" t="s">
        <v>75</v>
      </c>
      <c r="EU5" t="s">
        <v>153</v>
      </c>
      <c r="EV5">
        <v>174.203</v>
      </c>
      <c r="EW5" t="s">
        <v>69</v>
      </c>
      <c r="EX5" t="s">
        <v>69</v>
      </c>
      <c r="EY5">
        <v>115</v>
      </c>
      <c r="EZ5" t="s">
        <v>76</v>
      </c>
      <c r="FA5" t="s">
        <v>69</v>
      </c>
      <c r="FB5" t="s">
        <v>75</v>
      </c>
      <c r="FC5" t="s">
        <v>69</v>
      </c>
      <c r="FD5">
        <v>146.18899999999999</v>
      </c>
      <c r="FE5" t="s">
        <v>69</v>
      </c>
      <c r="FF5" t="s">
        <v>69</v>
      </c>
      <c r="FG5">
        <v>116</v>
      </c>
      <c r="FH5" t="s">
        <v>115</v>
      </c>
      <c r="FI5" t="s">
        <v>69</v>
      </c>
      <c r="FJ5" t="s">
        <v>71</v>
      </c>
      <c r="FK5" t="s">
        <v>69</v>
      </c>
      <c r="FL5">
        <v>117.148</v>
      </c>
      <c r="FM5" t="s">
        <v>69</v>
      </c>
      <c r="FN5" t="s">
        <v>69</v>
      </c>
      <c r="FO5">
        <v>120</v>
      </c>
      <c r="FP5" t="s">
        <v>119</v>
      </c>
      <c r="FQ5" t="s">
        <v>69</v>
      </c>
      <c r="FR5" t="s">
        <v>120</v>
      </c>
      <c r="FS5" t="s">
        <v>69</v>
      </c>
      <c r="FT5">
        <v>147.131</v>
      </c>
      <c r="FU5" t="s">
        <v>69</v>
      </c>
      <c r="FV5" t="s">
        <v>69</v>
      </c>
    </row>
    <row r="6" spans="1:178" x14ac:dyDescent="0.25">
      <c r="A6">
        <v>7</v>
      </c>
      <c r="B6" t="str">
        <f>HYPERLINK("http://www.ncbi.nlm.nih.gov/protein/XP_003915187.1","XP_003915187.1")</f>
        <v>XP_003915187.1</v>
      </c>
      <c r="C6">
        <v>73529</v>
      </c>
      <c r="D6" t="str">
        <f>HYPERLINK("http://www.ncbi.nlm.nih.gov/Taxonomy/Browser/wwwtax.cgi?mode=Info&amp;id=9555&amp;lvl=3&amp;lin=f&amp;keep=1&amp;srchmode=1&amp;unlock","9555")</f>
        <v>9555</v>
      </c>
      <c r="E6" t="s">
        <v>66</v>
      </c>
      <c r="F6" t="str">
        <f>HYPERLINK("http://www.ncbi.nlm.nih.gov/Taxonomy/Browser/wwwtax.cgi?mode=Info&amp;id=9555&amp;lvl=3&amp;lin=f&amp;keep=1&amp;srchmode=1&amp;unlock","Papio anubis")</f>
        <v>Papio anubis</v>
      </c>
      <c r="G6" t="s">
        <v>80</v>
      </c>
      <c r="H6" t="str">
        <f>HYPERLINK("http://www.ncbi.nlm.nih.gov/protein/XP_003915187.1","bone marrow stromal antigen 2")</f>
        <v>bone marrow stromal antigen 2</v>
      </c>
      <c r="I6" t="s">
        <v>248</v>
      </c>
      <c r="J6" t="s">
        <v>69</v>
      </c>
      <c r="K6">
        <v>51</v>
      </c>
      <c r="L6" t="s">
        <v>73</v>
      </c>
      <c r="M6" t="s">
        <v>69</v>
      </c>
      <c r="N6" t="s">
        <v>71</v>
      </c>
      <c r="O6" t="s">
        <v>69</v>
      </c>
      <c r="P6">
        <v>89.093999999999994</v>
      </c>
      <c r="Q6" t="s">
        <v>69</v>
      </c>
      <c r="R6" t="s">
        <v>69</v>
      </c>
      <c r="S6">
        <v>52</v>
      </c>
      <c r="T6" t="s">
        <v>153</v>
      </c>
      <c r="U6" t="s">
        <v>69</v>
      </c>
      <c r="V6" t="s">
        <v>148</v>
      </c>
      <c r="W6" t="s">
        <v>69</v>
      </c>
      <c r="X6">
        <v>132.119</v>
      </c>
      <c r="Y6" t="s">
        <v>69</v>
      </c>
      <c r="Z6" t="s">
        <v>69</v>
      </c>
      <c r="AA6">
        <v>53</v>
      </c>
      <c r="AB6" t="s">
        <v>155</v>
      </c>
      <c r="AC6" t="s">
        <v>69</v>
      </c>
      <c r="AD6" t="s">
        <v>150</v>
      </c>
      <c r="AE6" t="s">
        <v>69</v>
      </c>
      <c r="AF6">
        <v>105.093</v>
      </c>
      <c r="AG6" t="s">
        <v>69</v>
      </c>
      <c r="AH6" t="s">
        <v>69</v>
      </c>
      <c r="AI6">
        <v>54</v>
      </c>
      <c r="AJ6" t="s">
        <v>119</v>
      </c>
      <c r="AK6" t="s">
        <v>69</v>
      </c>
      <c r="AL6" t="s">
        <v>120</v>
      </c>
      <c r="AM6" t="s">
        <v>69</v>
      </c>
      <c r="AN6">
        <v>147.131</v>
      </c>
      <c r="AO6" t="s">
        <v>69</v>
      </c>
      <c r="AP6" t="s">
        <v>69</v>
      </c>
      <c r="AQ6">
        <v>55</v>
      </c>
      <c r="AR6" t="s">
        <v>73</v>
      </c>
      <c r="AS6" t="s">
        <v>69</v>
      </c>
      <c r="AT6" t="s">
        <v>71</v>
      </c>
      <c r="AU6" t="s">
        <v>69</v>
      </c>
      <c r="AV6">
        <v>89.093999999999994</v>
      </c>
      <c r="AW6" t="s">
        <v>69</v>
      </c>
      <c r="AX6" t="s">
        <v>69</v>
      </c>
      <c r="AY6">
        <v>56</v>
      </c>
      <c r="AZ6" t="s">
        <v>249</v>
      </c>
      <c r="BA6" t="s">
        <v>69</v>
      </c>
      <c r="BB6" t="s">
        <v>117</v>
      </c>
      <c r="BC6" t="s">
        <v>69</v>
      </c>
      <c r="BD6">
        <v>121.154</v>
      </c>
      <c r="BE6" t="s">
        <v>69</v>
      </c>
      <c r="BF6" t="s">
        <v>69</v>
      </c>
      <c r="BG6">
        <v>87</v>
      </c>
      <c r="BH6" t="s">
        <v>73</v>
      </c>
      <c r="BI6" t="s">
        <v>153</v>
      </c>
      <c r="BJ6" t="s">
        <v>71</v>
      </c>
      <c r="BK6" t="s">
        <v>69</v>
      </c>
      <c r="BL6">
        <v>89.093999999999994</v>
      </c>
      <c r="BM6" t="s">
        <v>69</v>
      </c>
      <c r="BN6" t="s">
        <v>69</v>
      </c>
      <c r="BO6">
        <v>88</v>
      </c>
      <c r="BP6" t="s">
        <v>119</v>
      </c>
      <c r="BQ6" t="s">
        <v>69</v>
      </c>
      <c r="BR6" t="s">
        <v>120</v>
      </c>
      <c r="BS6" t="s">
        <v>69</v>
      </c>
      <c r="BT6">
        <v>147.131</v>
      </c>
      <c r="BU6" t="s">
        <v>69</v>
      </c>
      <c r="BV6" t="s">
        <v>69</v>
      </c>
      <c r="BW6">
        <v>90</v>
      </c>
      <c r="BX6" t="s">
        <v>147</v>
      </c>
      <c r="BY6" t="s">
        <v>69</v>
      </c>
      <c r="BZ6" t="s">
        <v>148</v>
      </c>
      <c r="CA6" t="s">
        <v>69</v>
      </c>
      <c r="CB6">
        <v>146.14599999999999</v>
      </c>
      <c r="CC6" t="s">
        <v>69</v>
      </c>
      <c r="CD6" t="s">
        <v>69</v>
      </c>
      <c r="CE6">
        <v>91</v>
      </c>
      <c r="CF6" t="s">
        <v>73</v>
      </c>
      <c r="CG6" t="s">
        <v>69</v>
      </c>
      <c r="CH6" t="s">
        <v>71</v>
      </c>
      <c r="CI6" t="s">
        <v>69</v>
      </c>
      <c r="CJ6">
        <v>89.093999999999994</v>
      </c>
      <c r="CK6" t="s">
        <v>69</v>
      </c>
      <c r="CL6" t="s">
        <v>69</v>
      </c>
      <c r="CM6">
        <v>92</v>
      </c>
      <c r="CN6" t="s">
        <v>115</v>
      </c>
      <c r="CO6" t="s">
        <v>153</v>
      </c>
      <c r="CP6" t="s">
        <v>71</v>
      </c>
      <c r="CQ6" t="s">
        <v>69</v>
      </c>
      <c r="CR6">
        <v>117.148</v>
      </c>
      <c r="CS6" t="s">
        <v>69</v>
      </c>
      <c r="CT6" t="s">
        <v>69</v>
      </c>
      <c r="CU6">
        <v>94</v>
      </c>
      <c r="CV6" t="s">
        <v>249</v>
      </c>
      <c r="CW6" t="s">
        <v>69</v>
      </c>
      <c r="CX6" t="s">
        <v>117</v>
      </c>
      <c r="CY6" t="s">
        <v>69</v>
      </c>
      <c r="CZ6">
        <v>121.154</v>
      </c>
      <c r="DA6" t="s">
        <v>69</v>
      </c>
      <c r="DB6" t="s">
        <v>69</v>
      </c>
      <c r="DC6">
        <v>95</v>
      </c>
      <c r="DD6" t="s">
        <v>153</v>
      </c>
      <c r="DE6" t="s">
        <v>69</v>
      </c>
      <c r="DF6" t="s">
        <v>148</v>
      </c>
      <c r="DG6" t="s">
        <v>69</v>
      </c>
      <c r="DH6">
        <v>132.119</v>
      </c>
      <c r="DI6" t="s">
        <v>69</v>
      </c>
      <c r="DJ6" t="s">
        <v>69</v>
      </c>
      <c r="DK6">
        <v>108</v>
      </c>
      <c r="DL6" t="s">
        <v>119</v>
      </c>
      <c r="DM6" t="s">
        <v>69</v>
      </c>
      <c r="DN6" t="s">
        <v>120</v>
      </c>
      <c r="DO6" t="s">
        <v>69</v>
      </c>
      <c r="DP6">
        <v>147.131</v>
      </c>
      <c r="DQ6" t="s">
        <v>69</v>
      </c>
      <c r="DR6" t="s">
        <v>69</v>
      </c>
      <c r="DS6">
        <v>109</v>
      </c>
      <c r="DT6" t="s">
        <v>76</v>
      </c>
      <c r="DU6" t="s">
        <v>69</v>
      </c>
      <c r="DV6" t="s">
        <v>75</v>
      </c>
      <c r="DW6" t="s">
        <v>69</v>
      </c>
      <c r="DX6">
        <v>146.18899999999999</v>
      </c>
      <c r="DY6" t="s">
        <v>69</v>
      </c>
      <c r="DZ6" t="s">
        <v>69</v>
      </c>
      <c r="EA6">
        <v>111</v>
      </c>
      <c r="EB6" t="s">
        <v>147</v>
      </c>
      <c r="EC6" t="s">
        <v>69</v>
      </c>
      <c r="ED6" t="s">
        <v>148</v>
      </c>
      <c r="EE6" t="s">
        <v>69</v>
      </c>
      <c r="EF6">
        <v>146.14599999999999</v>
      </c>
      <c r="EG6" t="s">
        <v>69</v>
      </c>
      <c r="EH6" t="s">
        <v>69</v>
      </c>
      <c r="EI6">
        <v>112</v>
      </c>
      <c r="EJ6" t="s">
        <v>70</v>
      </c>
      <c r="EK6" t="s">
        <v>69</v>
      </c>
      <c r="EL6" t="s">
        <v>71</v>
      </c>
      <c r="EM6" t="s">
        <v>69</v>
      </c>
      <c r="EN6">
        <v>75.066999999999993</v>
      </c>
      <c r="EO6" t="s">
        <v>69</v>
      </c>
      <c r="EP6" t="s">
        <v>69</v>
      </c>
      <c r="EQ6">
        <v>113</v>
      </c>
      <c r="ER6" t="s">
        <v>74</v>
      </c>
      <c r="ES6" t="s">
        <v>153</v>
      </c>
      <c r="ET6" t="s">
        <v>75</v>
      </c>
      <c r="EU6" t="s">
        <v>153</v>
      </c>
      <c r="EV6">
        <v>174.203</v>
      </c>
      <c r="EW6" t="s">
        <v>69</v>
      </c>
      <c r="EX6" t="s">
        <v>69</v>
      </c>
      <c r="EY6">
        <v>115</v>
      </c>
      <c r="EZ6" t="s">
        <v>76</v>
      </c>
      <c r="FA6" t="s">
        <v>69</v>
      </c>
      <c r="FB6" t="s">
        <v>75</v>
      </c>
      <c r="FC6" t="s">
        <v>69</v>
      </c>
      <c r="FD6">
        <v>146.18899999999999</v>
      </c>
      <c r="FE6" t="s">
        <v>69</v>
      </c>
      <c r="FF6" t="s">
        <v>69</v>
      </c>
      <c r="FG6">
        <v>116</v>
      </c>
      <c r="FH6" t="s">
        <v>115</v>
      </c>
      <c r="FI6" t="s">
        <v>69</v>
      </c>
      <c r="FJ6" t="s">
        <v>71</v>
      </c>
      <c r="FK6" t="s">
        <v>69</v>
      </c>
      <c r="FL6">
        <v>117.148</v>
      </c>
      <c r="FM6" t="s">
        <v>69</v>
      </c>
      <c r="FN6" t="s">
        <v>69</v>
      </c>
      <c r="FO6">
        <v>120</v>
      </c>
      <c r="FP6" t="s">
        <v>119</v>
      </c>
      <c r="FQ6" t="s">
        <v>69</v>
      </c>
      <c r="FR6" t="s">
        <v>120</v>
      </c>
      <c r="FS6" t="s">
        <v>69</v>
      </c>
      <c r="FT6">
        <v>147.131</v>
      </c>
      <c r="FU6" t="s">
        <v>69</v>
      </c>
      <c r="FV6" t="s">
        <v>69</v>
      </c>
    </row>
    <row r="7" spans="1:178" x14ac:dyDescent="0.25">
      <c r="A7">
        <v>7</v>
      </c>
      <c r="B7" t="str">
        <f>HYPERLINK("http://www.ncbi.nlm.nih.gov/protein/XP_035139505.1","XP_035139505.1")</f>
        <v>XP_035139505.1</v>
      </c>
      <c r="C7">
        <v>87664</v>
      </c>
      <c r="D7" t="str">
        <f>HYPERLINK("http://www.ncbi.nlm.nih.gov/Taxonomy/Browser/wwwtax.cgi?mode=Info&amp;id=9483&amp;lvl=3&amp;lin=f&amp;keep=1&amp;srchmode=1&amp;unlock","9483")</f>
        <v>9483</v>
      </c>
      <c r="E7" t="s">
        <v>66</v>
      </c>
      <c r="F7" t="str">
        <f>HYPERLINK("http://www.ncbi.nlm.nih.gov/Taxonomy/Browser/wwwtax.cgi?mode=Info&amp;id=9483&amp;lvl=3&amp;lin=f&amp;keep=1&amp;srchmode=1&amp;unlock","Callithrix jacchus")</f>
        <v>Callithrix jacchus</v>
      </c>
      <c r="G7" t="s">
        <v>106</v>
      </c>
      <c r="H7" t="str">
        <f>HYPERLINK("http://www.ncbi.nlm.nih.gov/protein/XP_035139505.1","bone marrow stromal antigen 2")</f>
        <v>bone marrow stromal antigen 2</v>
      </c>
      <c r="I7" t="s">
        <v>248</v>
      </c>
      <c r="J7" t="s">
        <v>153</v>
      </c>
      <c r="K7">
        <v>55</v>
      </c>
      <c r="L7" t="s">
        <v>73</v>
      </c>
      <c r="M7" t="s">
        <v>69</v>
      </c>
      <c r="N7" t="s">
        <v>71</v>
      </c>
      <c r="O7" t="s">
        <v>69</v>
      </c>
      <c r="P7">
        <v>89.093999999999994</v>
      </c>
      <c r="Q7" t="s">
        <v>69</v>
      </c>
      <c r="R7" t="s">
        <v>69</v>
      </c>
      <c r="S7">
        <v>56</v>
      </c>
      <c r="T7" t="s">
        <v>153</v>
      </c>
      <c r="U7" t="s">
        <v>69</v>
      </c>
      <c r="V7" t="s">
        <v>148</v>
      </c>
      <c r="W7" t="s">
        <v>69</v>
      </c>
      <c r="X7">
        <v>132.119</v>
      </c>
      <c r="Y7" t="s">
        <v>69</v>
      </c>
      <c r="Z7" t="s">
        <v>69</v>
      </c>
      <c r="AA7">
        <v>57</v>
      </c>
      <c r="AB7" t="s">
        <v>155</v>
      </c>
      <c r="AC7" t="s">
        <v>69</v>
      </c>
      <c r="AD7" t="s">
        <v>150</v>
      </c>
      <c r="AE7" t="s">
        <v>69</v>
      </c>
      <c r="AF7">
        <v>105.093</v>
      </c>
      <c r="AG7" t="s">
        <v>69</v>
      </c>
      <c r="AH7" t="s">
        <v>69</v>
      </c>
      <c r="AI7">
        <v>58</v>
      </c>
      <c r="AJ7" t="s">
        <v>119</v>
      </c>
      <c r="AK7" t="s">
        <v>69</v>
      </c>
      <c r="AL7" t="s">
        <v>120</v>
      </c>
      <c r="AM7" t="s">
        <v>69</v>
      </c>
      <c r="AN7">
        <v>147.131</v>
      </c>
      <c r="AO7" t="s">
        <v>69</v>
      </c>
      <c r="AP7" t="s">
        <v>69</v>
      </c>
      <c r="AQ7">
        <v>59</v>
      </c>
      <c r="AR7" t="s">
        <v>73</v>
      </c>
      <c r="AS7" t="s">
        <v>69</v>
      </c>
      <c r="AT7" t="s">
        <v>71</v>
      </c>
      <c r="AU7" t="s">
        <v>69</v>
      </c>
      <c r="AV7">
        <v>89.093999999999994</v>
      </c>
      <c r="AW7" t="s">
        <v>69</v>
      </c>
      <c r="AX7" t="s">
        <v>69</v>
      </c>
      <c r="AY7">
        <v>60</v>
      </c>
      <c r="AZ7" t="s">
        <v>249</v>
      </c>
      <c r="BA7" t="s">
        <v>69</v>
      </c>
      <c r="BB7" t="s">
        <v>117</v>
      </c>
      <c r="BC7" t="s">
        <v>69</v>
      </c>
      <c r="BD7">
        <v>121.154</v>
      </c>
      <c r="BE7" t="s">
        <v>69</v>
      </c>
      <c r="BF7" t="s">
        <v>69</v>
      </c>
      <c r="BG7">
        <v>91</v>
      </c>
      <c r="BH7" t="s">
        <v>73</v>
      </c>
      <c r="BI7" t="s">
        <v>153</v>
      </c>
      <c r="BJ7" t="s">
        <v>71</v>
      </c>
      <c r="BK7" t="s">
        <v>69</v>
      </c>
      <c r="BL7">
        <v>89.093999999999994</v>
      </c>
      <c r="BM7" t="s">
        <v>69</v>
      </c>
      <c r="BN7" t="s">
        <v>69</v>
      </c>
      <c r="BO7">
        <v>92</v>
      </c>
      <c r="BP7" t="s">
        <v>119</v>
      </c>
      <c r="BQ7" t="s">
        <v>69</v>
      </c>
      <c r="BR7" t="s">
        <v>120</v>
      </c>
      <c r="BS7" t="s">
        <v>69</v>
      </c>
      <c r="BT7">
        <v>147.131</v>
      </c>
      <c r="BU7" t="s">
        <v>69</v>
      </c>
      <c r="BV7" t="s">
        <v>69</v>
      </c>
      <c r="BW7">
        <v>94</v>
      </c>
      <c r="BX7" t="s">
        <v>147</v>
      </c>
      <c r="BY7" t="s">
        <v>69</v>
      </c>
      <c r="BZ7" t="s">
        <v>148</v>
      </c>
      <c r="CA7" t="s">
        <v>69</v>
      </c>
      <c r="CB7">
        <v>146.14599999999999</v>
      </c>
      <c r="CC7" t="s">
        <v>69</v>
      </c>
      <c r="CD7" t="s">
        <v>69</v>
      </c>
      <c r="CE7">
        <v>95</v>
      </c>
      <c r="CF7" t="s">
        <v>145</v>
      </c>
      <c r="CG7" t="s">
        <v>153</v>
      </c>
      <c r="CH7" t="s">
        <v>71</v>
      </c>
      <c r="CI7" t="s">
        <v>69</v>
      </c>
      <c r="CJ7">
        <v>131.17500000000001</v>
      </c>
      <c r="CK7" t="s">
        <v>153</v>
      </c>
      <c r="CL7" t="s">
        <v>69</v>
      </c>
      <c r="CM7">
        <v>96</v>
      </c>
      <c r="CN7" t="s">
        <v>73</v>
      </c>
      <c r="CO7" t="s">
        <v>69</v>
      </c>
      <c r="CP7" t="s">
        <v>71</v>
      </c>
      <c r="CQ7" t="s">
        <v>69</v>
      </c>
      <c r="CR7">
        <v>89.093999999999994</v>
      </c>
      <c r="CS7" t="s">
        <v>69</v>
      </c>
      <c r="CT7" t="s">
        <v>69</v>
      </c>
      <c r="CU7">
        <v>98</v>
      </c>
      <c r="CV7" t="s">
        <v>69</v>
      </c>
      <c r="CW7" t="s">
        <v>153</v>
      </c>
      <c r="CX7" t="s">
        <v>152</v>
      </c>
      <c r="CY7" t="s">
        <v>153</v>
      </c>
      <c r="CZ7">
        <v>181.191</v>
      </c>
      <c r="DA7" t="s">
        <v>153</v>
      </c>
      <c r="DB7" t="s">
        <v>153</v>
      </c>
      <c r="DC7">
        <v>99</v>
      </c>
      <c r="DD7" t="s">
        <v>153</v>
      </c>
      <c r="DE7" t="s">
        <v>69</v>
      </c>
      <c r="DF7" t="s">
        <v>148</v>
      </c>
      <c r="DG7" t="s">
        <v>69</v>
      </c>
      <c r="DH7">
        <v>132.119</v>
      </c>
      <c r="DI7" t="s">
        <v>69</v>
      </c>
      <c r="DJ7" t="s">
        <v>69</v>
      </c>
      <c r="DK7">
        <v>112</v>
      </c>
      <c r="DL7" t="s">
        <v>119</v>
      </c>
      <c r="DM7" t="s">
        <v>69</v>
      </c>
      <c r="DN7" t="s">
        <v>120</v>
      </c>
      <c r="DO7" t="s">
        <v>69</v>
      </c>
      <c r="DP7">
        <v>147.131</v>
      </c>
      <c r="DQ7" t="s">
        <v>69</v>
      </c>
      <c r="DR7" t="s">
        <v>69</v>
      </c>
      <c r="DS7">
        <v>113</v>
      </c>
      <c r="DT7" t="s">
        <v>76</v>
      </c>
      <c r="DU7" t="s">
        <v>69</v>
      </c>
      <c r="DV7" t="s">
        <v>75</v>
      </c>
      <c r="DW7" t="s">
        <v>69</v>
      </c>
      <c r="DX7">
        <v>146.18899999999999</v>
      </c>
      <c r="DY7" t="s">
        <v>69</v>
      </c>
      <c r="DZ7" t="s">
        <v>69</v>
      </c>
      <c r="EA7">
        <v>118</v>
      </c>
      <c r="EB7" t="s">
        <v>156</v>
      </c>
      <c r="EC7" t="s">
        <v>153</v>
      </c>
      <c r="ED7" t="s">
        <v>120</v>
      </c>
      <c r="EE7" t="s">
        <v>153</v>
      </c>
      <c r="EF7">
        <v>133.10400000000001</v>
      </c>
      <c r="EG7" t="s">
        <v>69</v>
      </c>
      <c r="EH7" t="s">
        <v>69</v>
      </c>
      <c r="EI7">
        <v>119</v>
      </c>
      <c r="EJ7" t="s">
        <v>73</v>
      </c>
      <c r="EK7" t="s">
        <v>153</v>
      </c>
      <c r="EL7" t="s">
        <v>71</v>
      </c>
      <c r="EM7" t="s">
        <v>69</v>
      </c>
      <c r="EN7">
        <v>89.093999999999994</v>
      </c>
      <c r="EO7" t="s">
        <v>69</v>
      </c>
      <c r="EP7" t="s">
        <v>69</v>
      </c>
      <c r="EQ7">
        <v>120</v>
      </c>
      <c r="ER7" t="s">
        <v>119</v>
      </c>
      <c r="ES7" t="s">
        <v>153</v>
      </c>
      <c r="ET7" t="s">
        <v>120</v>
      </c>
      <c r="EU7" t="s">
        <v>153</v>
      </c>
      <c r="EV7">
        <v>147.131</v>
      </c>
      <c r="EW7" t="s">
        <v>69</v>
      </c>
      <c r="EX7" t="s">
        <v>69</v>
      </c>
      <c r="EY7">
        <v>122</v>
      </c>
      <c r="EZ7" t="s">
        <v>76</v>
      </c>
      <c r="FA7" t="s">
        <v>69</v>
      </c>
      <c r="FB7" t="s">
        <v>75</v>
      </c>
      <c r="FC7" t="s">
        <v>69</v>
      </c>
      <c r="FD7">
        <v>146.18899999999999</v>
      </c>
      <c r="FE7" t="s">
        <v>69</v>
      </c>
      <c r="FF7" t="s">
        <v>69</v>
      </c>
      <c r="FG7">
        <v>123</v>
      </c>
      <c r="FH7" t="s">
        <v>115</v>
      </c>
      <c r="FI7" t="s">
        <v>69</v>
      </c>
      <c r="FJ7" t="s">
        <v>71</v>
      </c>
      <c r="FK7" t="s">
        <v>69</v>
      </c>
      <c r="FL7">
        <v>117.148</v>
      </c>
      <c r="FM7" t="s">
        <v>69</v>
      </c>
      <c r="FN7" t="s">
        <v>69</v>
      </c>
      <c r="FO7">
        <v>127</v>
      </c>
      <c r="FP7" t="s">
        <v>119</v>
      </c>
      <c r="FQ7" t="s">
        <v>69</v>
      </c>
      <c r="FR7" t="s">
        <v>120</v>
      </c>
      <c r="FS7" t="s">
        <v>69</v>
      </c>
      <c r="FT7">
        <v>147.131</v>
      </c>
      <c r="FU7" t="s">
        <v>69</v>
      </c>
      <c r="FV7" t="s">
        <v>69</v>
      </c>
    </row>
    <row r="8" spans="1:178" x14ac:dyDescent="0.25">
      <c r="A8">
        <v>7</v>
      </c>
      <c r="B8" t="str">
        <f>HYPERLINK("http://www.ncbi.nlm.nih.gov/protein/XP_047687866.1","XP_047687866.1")</f>
        <v>XP_047687866.1</v>
      </c>
      <c r="C8">
        <v>56399</v>
      </c>
      <c r="D8" t="str">
        <f>HYPERLINK("http://www.ncbi.nlm.nih.gov/Taxonomy/Browser/wwwtax.cgi?mode=Info&amp;id=61388&amp;lvl=3&amp;lin=f&amp;keep=1&amp;srchmode=1&amp;unlock","61388")</f>
        <v>61388</v>
      </c>
      <c r="E8" t="s">
        <v>66</v>
      </c>
      <c r="F8" t="str">
        <f>HYPERLINK("http://www.ncbi.nlm.nih.gov/Taxonomy/Browser/wwwtax.cgi?mode=Info&amp;id=61388&amp;lvl=3&amp;lin=f&amp;keep=1&amp;srchmode=1&amp;unlock","Prionailurus viverrinus")</f>
        <v>Prionailurus viverrinus</v>
      </c>
      <c r="G8" t="s">
        <v>94</v>
      </c>
      <c r="H8" t="str">
        <f>HYPERLINK("http://www.ncbi.nlm.nih.gov/protein/XP_047687866.1","bone marrow stromal antigen 2-like")</f>
        <v>bone marrow stromal antigen 2-like</v>
      </c>
      <c r="I8" t="s">
        <v>248</v>
      </c>
      <c r="J8" t="s">
        <v>153</v>
      </c>
      <c r="K8">
        <v>35</v>
      </c>
      <c r="L8" t="s">
        <v>73</v>
      </c>
      <c r="M8" t="s">
        <v>69</v>
      </c>
      <c r="N8" t="s">
        <v>71</v>
      </c>
      <c r="O8" t="s">
        <v>69</v>
      </c>
      <c r="P8">
        <v>89.093999999999994</v>
      </c>
      <c r="Q8" t="s">
        <v>69</v>
      </c>
      <c r="R8" t="s">
        <v>69</v>
      </c>
      <c r="S8">
        <v>36</v>
      </c>
      <c r="T8" t="s">
        <v>153</v>
      </c>
      <c r="U8" t="s">
        <v>69</v>
      </c>
      <c r="V8" t="s">
        <v>148</v>
      </c>
      <c r="W8" t="s">
        <v>69</v>
      </c>
      <c r="X8">
        <v>132.119</v>
      </c>
      <c r="Y8" t="s">
        <v>69</v>
      </c>
      <c r="Z8" t="s">
        <v>69</v>
      </c>
      <c r="AA8">
        <v>37</v>
      </c>
      <c r="AB8" t="s">
        <v>155</v>
      </c>
      <c r="AC8" t="s">
        <v>69</v>
      </c>
      <c r="AD8" t="s">
        <v>150</v>
      </c>
      <c r="AE8" t="s">
        <v>69</v>
      </c>
      <c r="AF8">
        <v>105.093</v>
      </c>
      <c r="AG8" t="s">
        <v>69</v>
      </c>
      <c r="AH8" t="s">
        <v>69</v>
      </c>
      <c r="AI8">
        <v>38</v>
      </c>
      <c r="AJ8" t="s">
        <v>76</v>
      </c>
      <c r="AK8" t="s">
        <v>153</v>
      </c>
      <c r="AL8" t="s">
        <v>75</v>
      </c>
      <c r="AM8" t="s">
        <v>153</v>
      </c>
      <c r="AN8">
        <v>146.18899999999999</v>
      </c>
      <c r="AO8" t="s">
        <v>69</v>
      </c>
      <c r="AP8" t="s">
        <v>69</v>
      </c>
      <c r="AQ8">
        <v>39</v>
      </c>
      <c r="AR8" t="s">
        <v>73</v>
      </c>
      <c r="AS8" t="s">
        <v>69</v>
      </c>
      <c r="AT8" t="s">
        <v>71</v>
      </c>
      <c r="AU8" t="s">
        <v>69</v>
      </c>
      <c r="AV8">
        <v>89.093999999999994</v>
      </c>
      <c r="AW8" t="s">
        <v>69</v>
      </c>
      <c r="AX8" t="s">
        <v>69</v>
      </c>
      <c r="AY8">
        <v>40</v>
      </c>
      <c r="AZ8" t="s">
        <v>249</v>
      </c>
      <c r="BA8" t="s">
        <v>69</v>
      </c>
      <c r="BB8" t="s">
        <v>117</v>
      </c>
      <c r="BC8" t="s">
        <v>69</v>
      </c>
      <c r="BD8">
        <v>121.154</v>
      </c>
      <c r="BE8" t="s">
        <v>69</v>
      </c>
      <c r="BF8" t="s">
        <v>69</v>
      </c>
      <c r="BG8">
        <v>71</v>
      </c>
      <c r="BH8" t="s">
        <v>149</v>
      </c>
      <c r="BI8" t="s">
        <v>153</v>
      </c>
      <c r="BJ8" t="s">
        <v>150</v>
      </c>
      <c r="BK8" t="s">
        <v>153</v>
      </c>
      <c r="BL8">
        <v>119.119</v>
      </c>
      <c r="BM8" t="s">
        <v>69</v>
      </c>
      <c r="BN8" t="s">
        <v>69</v>
      </c>
      <c r="BO8">
        <v>72</v>
      </c>
      <c r="BP8" t="s">
        <v>119</v>
      </c>
      <c r="BQ8" t="s">
        <v>69</v>
      </c>
      <c r="BR8" t="s">
        <v>120</v>
      </c>
      <c r="BS8" t="s">
        <v>69</v>
      </c>
      <c r="BT8">
        <v>147.131</v>
      </c>
      <c r="BU8" t="s">
        <v>69</v>
      </c>
      <c r="BV8" t="s">
        <v>69</v>
      </c>
      <c r="BW8">
        <v>74</v>
      </c>
      <c r="BX8" t="s">
        <v>147</v>
      </c>
      <c r="BY8" t="s">
        <v>69</v>
      </c>
      <c r="BZ8" t="s">
        <v>148</v>
      </c>
      <c r="CA8" t="s">
        <v>69</v>
      </c>
      <c r="CB8">
        <v>146.14599999999999</v>
      </c>
      <c r="CC8" t="s">
        <v>69</v>
      </c>
      <c r="CD8" t="s">
        <v>69</v>
      </c>
      <c r="CE8">
        <v>75</v>
      </c>
      <c r="CF8" t="s">
        <v>73</v>
      </c>
      <c r="CG8" t="s">
        <v>69</v>
      </c>
      <c r="CH8" t="s">
        <v>71</v>
      </c>
      <c r="CI8" t="s">
        <v>69</v>
      </c>
      <c r="CJ8">
        <v>89.093999999999994</v>
      </c>
      <c r="CK8" t="s">
        <v>69</v>
      </c>
      <c r="CL8" t="s">
        <v>69</v>
      </c>
      <c r="CM8">
        <v>76</v>
      </c>
      <c r="CN8" t="s">
        <v>73</v>
      </c>
      <c r="CO8" t="s">
        <v>69</v>
      </c>
      <c r="CP8" t="s">
        <v>71</v>
      </c>
      <c r="CQ8" t="s">
        <v>69</v>
      </c>
      <c r="CR8">
        <v>89.093999999999994</v>
      </c>
      <c r="CS8" t="s">
        <v>69</v>
      </c>
      <c r="CT8" t="s">
        <v>69</v>
      </c>
      <c r="CU8">
        <v>78</v>
      </c>
      <c r="CV8" t="s">
        <v>249</v>
      </c>
      <c r="CW8" t="s">
        <v>69</v>
      </c>
      <c r="CX8" t="s">
        <v>117</v>
      </c>
      <c r="CY8" t="s">
        <v>69</v>
      </c>
      <c r="CZ8">
        <v>121.154</v>
      </c>
      <c r="DA8" t="s">
        <v>69</v>
      </c>
      <c r="DB8" t="s">
        <v>69</v>
      </c>
      <c r="DC8">
        <v>79</v>
      </c>
      <c r="DD8" t="s">
        <v>153</v>
      </c>
      <c r="DE8" t="s">
        <v>69</v>
      </c>
      <c r="DF8" t="s">
        <v>148</v>
      </c>
      <c r="DG8" t="s">
        <v>69</v>
      </c>
      <c r="DH8">
        <v>132.119</v>
      </c>
      <c r="DI8" t="s">
        <v>69</v>
      </c>
      <c r="DJ8" t="s">
        <v>69</v>
      </c>
      <c r="DK8">
        <v>92</v>
      </c>
      <c r="DL8" t="s">
        <v>119</v>
      </c>
      <c r="DM8" t="s">
        <v>69</v>
      </c>
      <c r="DN8" t="s">
        <v>120</v>
      </c>
      <c r="DO8" t="s">
        <v>69</v>
      </c>
      <c r="DP8">
        <v>147.131</v>
      </c>
      <c r="DQ8" t="s">
        <v>69</v>
      </c>
      <c r="DR8" t="s">
        <v>69</v>
      </c>
      <c r="DS8">
        <v>93</v>
      </c>
      <c r="DT8" t="s">
        <v>76</v>
      </c>
      <c r="DU8" t="s">
        <v>69</v>
      </c>
      <c r="DV8" t="s">
        <v>75</v>
      </c>
      <c r="DW8" t="s">
        <v>69</v>
      </c>
      <c r="DX8">
        <v>146.18899999999999</v>
      </c>
      <c r="DY8" t="s">
        <v>69</v>
      </c>
      <c r="DZ8" t="s">
        <v>69</v>
      </c>
      <c r="EA8">
        <v>98</v>
      </c>
      <c r="EB8" t="s">
        <v>119</v>
      </c>
      <c r="EC8" t="s">
        <v>153</v>
      </c>
      <c r="ED8" t="s">
        <v>120</v>
      </c>
      <c r="EE8" t="s">
        <v>153</v>
      </c>
      <c r="EF8">
        <v>147.131</v>
      </c>
      <c r="EG8" t="s">
        <v>69</v>
      </c>
      <c r="EH8" t="s">
        <v>69</v>
      </c>
      <c r="EI8">
        <v>99</v>
      </c>
      <c r="EJ8" t="s">
        <v>250</v>
      </c>
      <c r="EK8" t="s">
        <v>153</v>
      </c>
      <c r="EL8" t="s">
        <v>152</v>
      </c>
      <c r="EM8" t="s">
        <v>153</v>
      </c>
      <c r="EN8">
        <v>204.22800000000001</v>
      </c>
      <c r="EO8" t="s">
        <v>153</v>
      </c>
      <c r="EP8" t="s">
        <v>153</v>
      </c>
      <c r="EQ8">
        <v>100</v>
      </c>
      <c r="ER8" t="s">
        <v>72</v>
      </c>
      <c r="ES8" t="s">
        <v>153</v>
      </c>
      <c r="ET8" t="s">
        <v>71</v>
      </c>
      <c r="EU8" t="s">
        <v>153</v>
      </c>
      <c r="EV8">
        <v>131.17500000000001</v>
      </c>
      <c r="EW8" t="s">
        <v>69</v>
      </c>
      <c r="EX8" t="s">
        <v>69</v>
      </c>
      <c r="EY8">
        <v>102</v>
      </c>
      <c r="EZ8" t="s">
        <v>76</v>
      </c>
      <c r="FA8" t="s">
        <v>69</v>
      </c>
      <c r="FB8" t="s">
        <v>75</v>
      </c>
      <c r="FC8" t="s">
        <v>69</v>
      </c>
      <c r="FD8">
        <v>146.18899999999999</v>
      </c>
      <c r="FE8" t="s">
        <v>69</v>
      </c>
      <c r="FF8" t="s">
        <v>69</v>
      </c>
      <c r="FG8">
        <v>103</v>
      </c>
      <c r="FH8" t="s">
        <v>74</v>
      </c>
      <c r="FI8" t="s">
        <v>153</v>
      </c>
      <c r="FJ8" t="s">
        <v>75</v>
      </c>
      <c r="FK8" t="s">
        <v>153</v>
      </c>
      <c r="FL8">
        <v>174.203</v>
      </c>
      <c r="FM8" t="s">
        <v>153</v>
      </c>
      <c r="FN8" t="s">
        <v>153</v>
      </c>
      <c r="FO8">
        <v>107</v>
      </c>
      <c r="FP8" t="s">
        <v>74</v>
      </c>
      <c r="FQ8" t="s">
        <v>153</v>
      </c>
      <c r="FR8" t="s">
        <v>75</v>
      </c>
      <c r="FS8" t="s">
        <v>153</v>
      </c>
      <c r="FT8">
        <v>174.203</v>
      </c>
      <c r="FU8" t="s">
        <v>69</v>
      </c>
      <c r="FV8" t="s">
        <v>69</v>
      </c>
    </row>
    <row r="9" spans="1:178" x14ac:dyDescent="0.25">
      <c r="A9">
        <v>7</v>
      </c>
      <c r="B9" t="str">
        <f>HYPERLINK("http://www.ncbi.nlm.nih.gov/protein/CAD7685381.1","CAD7685381.1")</f>
        <v>CAD7685381.1</v>
      </c>
      <c r="C9">
        <v>27271</v>
      </c>
      <c r="D9" t="str">
        <f>HYPERLINK("http://www.ncbi.nlm.nih.gov/Taxonomy/Browser/wwwtax.cgi?mode=Info&amp;id=34880&amp;lvl=3&amp;lin=f&amp;keep=1&amp;srchmode=1&amp;unlock","34880")</f>
        <v>34880</v>
      </c>
      <c r="E9" t="s">
        <v>66</v>
      </c>
      <c r="F9" t="str">
        <f>HYPERLINK("http://www.ncbi.nlm.nih.gov/Taxonomy/Browser/wwwtax.cgi?mode=Info&amp;id=34880&amp;lvl=3&amp;lin=f&amp;keep=1&amp;srchmode=1&amp;unlock","Nyctereutes procyonoides")</f>
        <v>Nyctereutes procyonoides</v>
      </c>
      <c r="G9" t="s">
        <v>92</v>
      </c>
      <c r="H9" t="str">
        <f>HYPERLINK("http://www.ncbi.nlm.nih.gov/protein/CAD7685381.1","unnamed protein product")</f>
        <v>unnamed protein product</v>
      </c>
      <c r="I9" t="s">
        <v>248</v>
      </c>
      <c r="J9" t="s">
        <v>153</v>
      </c>
      <c r="K9">
        <v>54</v>
      </c>
      <c r="L9" t="s">
        <v>73</v>
      </c>
      <c r="M9" t="s">
        <v>69</v>
      </c>
      <c r="N9" t="s">
        <v>71</v>
      </c>
      <c r="O9" t="s">
        <v>69</v>
      </c>
      <c r="P9">
        <v>89.093999999999994</v>
      </c>
      <c r="Q9" t="s">
        <v>69</v>
      </c>
      <c r="R9" t="s">
        <v>69</v>
      </c>
      <c r="S9">
        <v>55</v>
      </c>
      <c r="T9" t="s">
        <v>153</v>
      </c>
      <c r="U9" t="s">
        <v>69</v>
      </c>
      <c r="V9" t="s">
        <v>148</v>
      </c>
      <c r="W9" t="s">
        <v>69</v>
      </c>
      <c r="X9">
        <v>132.119</v>
      </c>
      <c r="Y9" t="s">
        <v>69</v>
      </c>
      <c r="Z9" t="s">
        <v>69</v>
      </c>
      <c r="AA9">
        <v>56</v>
      </c>
      <c r="AB9" t="s">
        <v>155</v>
      </c>
      <c r="AC9" t="s">
        <v>69</v>
      </c>
      <c r="AD9" t="s">
        <v>150</v>
      </c>
      <c r="AE9" t="s">
        <v>69</v>
      </c>
      <c r="AF9">
        <v>105.093</v>
      </c>
      <c r="AG9" t="s">
        <v>69</v>
      </c>
      <c r="AH9" t="s">
        <v>69</v>
      </c>
      <c r="AI9">
        <v>57</v>
      </c>
      <c r="AJ9" t="s">
        <v>76</v>
      </c>
      <c r="AK9" t="s">
        <v>153</v>
      </c>
      <c r="AL9" t="s">
        <v>75</v>
      </c>
      <c r="AM9" t="s">
        <v>153</v>
      </c>
      <c r="AN9">
        <v>146.18899999999999</v>
      </c>
      <c r="AO9" t="s">
        <v>69</v>
      </c>
      <c r="AP9" t="s">
        <v>69</v>
      </c>
      <c r="AQ9">
        <v>58</v>
      </c>
      <c r="AR9" t="s">
        <v>73</v>
      </c>
      <c r="AS9" t="s">
        <v>69</v>
      </c>
      <c r="AT9" t="s">
        <v>71</v>
      </c>
      <c r="AU9" t="s">
        <v>69</v>
      </c>
      <c r="AV9">
        <v>89.093999999999994</v>
      </c>
      <c r="AW9" t="s">
        <v>69</v>
      </c>
      <c r="AX9" t="s">
        <v>69</v>
      </c>
      <c r="AY9">
        <v>59</v>
      </c>
      <c r="AZ9" t="s">
        <v>249</v>
      </c>
      <c r="BA9" t="s">
        <v>69</v>
      </c>
      <c r="BB9" t="s">
        <v>117</v>
      </c>
      <c r="BC9" t="s">
        <v>69</v>
      </c>
      <c r="BD9">
        <v>121.154</v>
      </c>
      <c r="BE9" t="s">
        <v>69</v>
      </c>
      <c r="BF9" t="s">
        <v>69</v>
      </c>
      <c r="BG9">
        <v>90</v>
      </c>
      <c r="BH9" t="s">
        <v>149</v>
      </c>
      <c r="BI9" t="s">
        <v>153</v>
      </c>
      <c r="BJ9" t="s">
        <v>150</v>
      </c>
      <c r="BK9" t="s">
        <v>153</v>
      </c>
      <c r="BL9">
        <v>119.119</v>
      </c>
      <c r="BM9" t="s">
        <v>69</v>
      </c>
      <c r="BN9" t="s">
        <v>69</v>
      </c>
      <c r="BO9">
        <v>91</v>
      </c>
      <c r="BP9" t="s">
        <v>116</v>
      </c>
      <c r="BQ9" t="s">
        <v>153</v>
      </c>
      <c r="BR9" t="s">
        <v>117</v>
      </c>
      <c r="BS9" t="s">
        <v>153</v>
      </c>
      <c r="BT9">
        <v>149.208</v>
      </c>
      <c r="BU9" t="s">
        <v>69</v>
      </c>
      <c r="BV9" t="s">
        <v>69</v>
      </c>
      <c r="BW9">
        <v>93</v>
      </c>
      <c r="BX9" t="s">
        <v>147</v>
      </c>
      <c r="BY9" t="s">
        <v>69</v>
      </c>
      <c r="BZ9" t="s">
        <v>148</v>
      </c>
      <c r="CA9" t="s">
        <v>69</v>
      </c>
      <c r="CB9">
        <v>146.14599999999999</v>
      </c>
      <c r="CC9" t="s">
        <v>69</v>
      </c>
      <c r="CD9" t="s">
        <v>69</v>
      </c>
      <c r="CE9">
        <v>94</v>
      </c>
      <c r="CF9" t="s">
        <v>73</v>
      </c>
      <c r="CG9" t="s">
        <v>69</v>
      </c>
      <c r="CH9" t="s">
        <v>71</v>
      </c>
      <c r="CI9" t="s">
        <v>69</v>
      </c>
      <c r="CJ9">
        <v>89.093999999999994</v>
      </c>
      <c r="CK9" t="s">
        <v>69</v>
      </c>
      <c r="CL9" t="s">
        <v>69</v>
      </c>
      <c r="CM9">
        <v>95</v>
      </c>
      <c r="CN9" t="s">
        <v>149</v>
      </c>
      <c r="CO9" t="s">
        <v>153</v>
      </c>
      <c r="CP9" t="s">
        <v>150</v>
      </c>
      <c r="CQ9" t="s">
        <v>153</v>
      </c>
      <c r="CR9">
        <v>119.119</v>
      </c>
      <c r="CS9" t="s">
        <v>153</v>
      </c>
      <c r="CT9" t="s">
        <v>153</v>
      </c>
      <c r="CU9">
        <v>97</v>
      </c>
      <c r="CV9" t="s">
        <v>249</v>
      </c>
      <c r="CW9" t="s">
        <v>69</v>
      </c>
      <c r="CX9" t="s">
        <v>117</v>
      </c>
      <c r="CY9" t="s">
        <v>69</v>
      </c>
      <c r="CZ9">
        <v>121.154</v>
      </c>
      <c r="DA9" t="s">
        <v>69</v>
      </c>
      <c r="DB9" t="s">
        <v>69</v>
      </c>
      <c r="DC9">
        <v>98</v>
      </c>
      <c r="DD9" t="s">
        <v>153</v>
      </c>
      <c r="DE9" t="s">
        <v>69</v>
      </c>
      <c r="DF9" t="s">
        <v>148</v>
      </c>
      <c r="DG9" t="s">
        <v>69</v>
      </c>
      <c r="DH9">
        <v>132.119</v>
      </c>
      <c r="DI9" t="s">
        <v>69</v>
      </c>
      <c r="DJ9" t="s">
        <v>69</v>
      </c>
      <c r="DK9">
        <v>111</v>
      </c>
      <c r="DL9" t="s">
        <v>119</v>
      </c>
      <c r="DM9" t="s">
        <v>69</v>
      </c>
      <c r="DN9" t="s">
        <v>120</v>
      </c>
      <c r="DO9" t="s">
        <v>69</v>
      </c>
      <c r="DP9">
        <v>147.131</v>
      </c>
      <c r="DQ9" t="s">
        <v>69</v>
      </c>
      <c r="DR9" t="s">
        <v>69</v>
      </c>
      <c r="DS9">
        <v>112</v>
      </c>
      <c r="DT9" t="s">
        <v>76</v>
      </c>
      <c r="DU9" t="s">
        <v>69</v>
      </c>
      <c r="DV9" t="s">
        <v>75</v>
      </c>
      <c r="DW9" t="s">
        <v>69</v>
      </c>
      <c r="DX9">
        <v>146.18899999999999</v>
      </c>
      <c r="DY9" t="s">
        <v>69</v>
      </c>
      <c r="DZ9" t="s">
        <v>69</v>
      </c>
      <c r="EA9">
        <v>117</v>
      </c>
      <c r="EB9" t="s">
        <v>119</v>
      </c>
      <c r="EC9" t="s">
        <v>153</v>
      </c>
      <c r="ED9" t="s">
        <v>120</v>
      </c>
      <c r="EE9" t="s">
        <v>153</v>
      </c>
      <c r="EF9">
        <v>147.131</v>
      </c>
      <c r="EG9" t="s">
        <v>69</v>
      </c>
      <c r="EH9" t="s">
        <v>69</v>
      </c>
      <c r="EI9">
        <v>118</v>
      </c>
      <c r="EJ9" t="s">
        <v>147</v>
      </c>
      <c r="EK9" t="s">
        <v>153</v>
      </c>
      <c r="EL9" t="s">
        <v>148</v>
      </c>
      <c r="EM9" t="s">
        <v>153</v>
      </c>
      <c r="EN9">
        <v>146.14599999999999</v>
      </c>
      <c r="EO9" t="s">
        <v>153</v>
      </c>
      <c r="EP9" t="s">
        <v>153</v>
      </c>
      <c r="EQ9">
        <v>119</v>
      </c>
      <c r="ER9" t="s">
        <v>72</v>
      </c>
      <c r="ES9" t="s">
        <v>153</v>
      </c>
      <c r="ET9" t="s">
        <v>71</v>
      </c>
      <c r="EU9" t="s">
        <v>153</v>
      </c>
      <c r="EV9">
        <v>131.17500000000001</v>
      </c>
      <c r="EW9" t="s">
        <v>69</v>
      </c>
      <c r="EX9" t="s">
        <v>69</v>
      </c>
      <c r="EY9">
        <v>121</v>
      </c>
      <c r="EZ9" t="s">
        <v>74</v>
      </c>
      <c r="FA9" t="s">
        <v>153</v>
      </c>
      <c r="FB9" t="s">
        <v>75</v>
      </c>
      <c r="FC9" t="s">
        <v>69</v>
      </c>
      <c r="FD9">
        <v>174.203</v>
      </c>
      <c r="FE9" t="s">
        <v>69</v>
      </c>
      <c r="FF9" t="s">
        <v>69</v>
      </c>
      <c r="FG9">
        <v>122</v>
      </c>
      <c r="FH9" t="s">
        <v>119</v>
      </c>
      <c r="FI9" t="s">
        <v>153</v>
      </c>
      <c r="FJ9" t="s">
        <v>120</v>
      </c>
      <c r="FK9" t="s">
        <v>153</v>
      </c>
      <c r="FL9">
        <v>147.131</v>
      </c>
      <c r="FM9" t="s">
        <v>69</v>
      </c>
      <c r="FN9" t="s">
        <v>69</v>
      </c>
      <c r="FO9">
        <v>126</v>
      </c>
      <c r="FP9" t="s">
        <v>147</v>
      </c>
      <c r="FQ9" t="s">
        <v>153</v>
      </c>
      <c r="FR9" t="s">
        <v>148</v>
      </c>
      <c r="FS9" t="s">
        <v>153</v>
      </c>
      <c r="FT9">
        <v>146.14599999999999</v>
      </c>
      <c r="FU9" t="s">
        <v>69</v>
      </c>
      <c r="FV9" t="s">
        <v>69</v>
      </c>
    </row>
    <row r="10" spans="1:178" x14ac:dyDescent="0.25">
      <c r="A10">
        <v>7</v>
      </c>
      <c r="B10" t="str">
        <f>HYPERLINK("http://www.ncbi.nlm.nih.gov/protein/NP_001230014.1","NP_001230014.1")</f>
        <v>NP_001230014.1</v>
      </c>
      <c r="C10">
        <v>74287</v>
      </c>
      <c r="D10" t="str">
        <f>HYPERLINK("http://www.ncbi.nlm.nih.gov/Taxonomy/Browser/wwwtax.cgi?mode=Info&amp;id=9685&amp;lvl=3&amp;lin=f&amp;keep=1&amp;srchmode=1&amp;unlock","9685")</f>
        <v>9685</v>
      </c>
      <c r="E10" t="s">
        <v>66</v>
      </c>
      <c r="F10" t="str">
        <f>HYPERLINK("http://www.ncbi.nlm.nih.gov/Taxonomy/Browser/wwwtax.cgi?mode=Info&amp;id=9685&amp;lvl=3&amp;lin=f&amp;keep=1&amp;srchmode=1&amp;unlock","Felis catus")</f>
        <v>Felis catus</v>
      </c>
      <c r="G10" t="s">
        <v>86</v>
      </c>
      <c r="H10" t="str">
        <f>HYPERLINK("http://www.ncbi.nlm.nih.gov/protein/NP_001230014.1","bone marrow stromal antigen 2")</f>
        <v>bone marrow stromal antigen 2</v>
      </c>
      <c r="I10" t="s">
        <v>248</v>
      </c>
      <c r="J10" t="s">
        <v>153</v>
      </c>
      <c r="K10">
        <v>54</v>
      </c>
      <c r="L10" t="s">
        <v>73</v>
      </c>
      <c r="M10" t="s">
        <v>69</v>
      </c>
      <c r="N10" t="s">
        <v>71</v>
      </c>
      <c r="O10" t="s">
        <v>69</v>
      </c>
      <c r="P10">
        <v>89.093999999999994</v>
      </c>
      <c r="Q10" t="s">
        <v>69</v>
      </c>
      <c r="R10" t="s">
        <v>69</v>
      </c>
      <c r="S10">
        <v>55</v>
      </c>
      <c r="T10" t="s">
        <v>153</v>
      </c>
      <c r="U10" t="s">
        <v>69</v>
      </c>
      <c r="V10" t="s">
        <v>148</v>
      </c>
      <c r="W10" t="s">
        <v>69</v>
      </c>
      <c r="X10">
        <v>132.119</v>
      </c>
      <c r="Y10" t="s">
        <v>69</v>
      </c>
      <c r="Z10" t="s">
        <v>69</v>
      </c>
      <c r="AA10">
        <v>56</v>
      </c>
      <c r="AB10" t="s">
        <v>155</v>
      </c>
      <c r="AC10" t="s">
        <v>69</v>
      </c>
      <c r="AD10" t="s">
        <v>150</v>
      </c>
      <c r="AE10" t="s">
        <v>69</v>
      </c>
      <c r="AF10">
        <v>105.093</v>
      </c>
      <c r="AG10" t="s">
        <v>69</v>
      </c>
      <c r="AH10" t="s">
        <v>69</v>
      </c>
      <c r="AI10">
        <v>57</v>
      </c>
      <c r="AJ10" t="s">
        <v>76</v>
      </c>
      <c r="AK10" t="s">
        <v>153</v>
      </c>
      <c r="AL10" t="s">
        <v>75</v>
      </c>
      <c r="AM10" t="s">
        <v>153</v>
      </c>
      <c r="AN10">
        <v>146.18899999999999</v>
      </c>
      <c r="AO10" t="s">
        <v>69</v>
      </c>
      <c r="AP10" t="s">
        <v>69</v>
      </c>
      <c r="AQ10">
        <v>58</v>
      </c>
      <c r="AR10" t="s">
        <v>73</v>
      </c>
      <c r="AS10" t="s">
        <v>69</v>
      </c>
      <c r="AT10" t="s">
        <v>71</v>
      </c>
      <c r="AU10" t="s">
        <v>69</v>
      </c>
      <c r="AV10">
        <v>89.093999999999994</v>
      </c>
      <c r="AW10" t="s">
        <v>69</v>
      </c>
      <c r="AX10" t="s">
        <v>69</v>
      </c>
      <c r="AY10">
        <v>59</v>
      </c>
      <c r="AZ10" t="s">
        <v>249</v>
      </c>
      <c r="BA10" t="s">
        <v>69</v>
      </c>
      <c r="BB10" t="s">
        <v>117</v>
      </c>
      <c r="BC10" t="s">
        <v>69</v>
      </c>
      <c r="BD10">
        <v>121.154</v>
      </c>
      <c r="BE10" t="s">
        <v>69</v>
      </c>
      <c r="BF10" t="s">
        <v>69</v>
      </c>
      <c r="BG10">
        <v>90</v>
      </c>
      <c r="BH10" t="s">
        <v>153</v>
      </c>
      <c r="BI10" t="s">
        <v>153</v>
      </c>
      <c r="BJ10" t="s">
        <v>148</v>
      </c>
      <c r="BK10" t="s">
        <v>153</v>
      </c>
      <c r="BL10">
        <v>132.119</v>
      </c>
      <c r="BM10" t="s">
        <v>69</v>
      </c>
      <c r="BN10" t="s">
        <v>69</v>
      </c>
      <c r="BO10">
        <v>91</v>
      </c>
      <c r="BP10" t="s">
        <v>119</v>
      </c>
      <c r="BQ10" t="s">
        <v>69</v>
      </c>
      <c r="BR10" t="s">
        <v>120</v>
      </c>
      <c r="BS10" t="s">
        <v>69</v>
      </c>
      <c r="BT10">
        <v>147.131</v>
      </c>
      <c r="BU10" t="s">
        <v>69</v>
      </c>
      <c r="BV10" t="s">
        <v>69</v>
      </c>
      <c r="BW10">
        <v>93</v>
      </c>
      <c r="BX10" t="s">
        <v>147</v>
      </c>
      <c r="BY10" t="s">
        <v>69</v>
      </c>
      <c r="BZ10" t="s">
        <v>148</v>
      </c>
      <c r="CA10" t="s">
        <v>69</v>
      </c>
      <c r="CB10">
        <v>146.14599999999999</v>
      </c>
      <c r="CC10" t="s">
        <v>69</v>
      </c>
      <c r="CD10" t="s">
        <v>69</v>
      </c>
      <c r="CE10">
        <v>94</v>
      </c>
      <c r="CF10" t="s">
        <v>73</v>
      </c>
      <c r="CG10" t="s">
        <v>69</v>
      </c>
      <c r="CH10" t="s">
        <v>71</v>
      </c>
      <c r="CI10" t="s">
        <v>69</v>
      </c>
      <c r="CJ10">
        <v>89.093999999999994</v>
      </c>
      <c r="CK10" t="s">
        <v>69</v>
      </c>
      <c r="CL10" t="s">
        <v>69</v>
      </c>
      <c r="CM10">
        <v>95</v>
      </c>
      <c r="CN10" t="s">
        <v>73</v>
      </c>
      <c r="CO10" t="s">
        <v>69</v>
      </c>
      <c r="CP10" t="s">
        <v>71</v>
      </c>
      <c r="CQ10" t="s">
        <v>69</v>
      </c>
      <c r="CR10">
        <v>89.093999999999994</v>
      </c>
      <c r="CS10" t="s">
        <v>69</v>
      </c>
      <c r="CT10" t="s">
        <v>69</v>
      </c>
      <c r="CU10">
        <v>97</v>
      </c>
      <c r="CV10" t="s">
        <v>249</v>
      </c>
      <c r="CW10" t="s">
        <v>69</v>
      </c>
      <c r="CX10" t="s">
        <v>117</v>
      </c>
      <c r="CY10" t="s">
        <v>69</v>
      </c>
      <c r="CZ10">
        <v>121.154</v>
      </c>
      <c r="DA10" t="s">
        <v>69</v>
      </c>
      <c r="DB10" t="s">
        <v>69</v>
      </c>
      <c r="DC10">
        <v>98</v>
      </c>
      <c r="DD10" t="s">
        <v>153</v>
      </c>
      <c r="DE10" t="s">
        <v>69</v>
      </c>
      <c r="DF10" t="s">
        <v>148</v>
      </c>
      <c r="DG10" t="s">
        <v>69</v>
      </c>
      <c r="DH10">
        <v>132.119</v>
      </c>
      <c r="DI10" t="s">
        <v>69</v>
      </c>
      <c r="DJ10" t="s">
        <v>69</v>
      </c>
      <c r="DK10">
        <v>111</v>
      </c>
      <c r="DL10" t="s">
        <v>119</v>
      </c>
      <c r="DM10" t="s">
        <v>69</v>
      </c>
      <c r="DN10" t="s">
        <v>120</v>
      </c>
      <c r="DO10" t="s">
        <v>69</v>
      </c>
      <c r="DP10">
        <v>147.131</v>
      </c>
      <c r="DQ10" t="s">
        <v>69</v>
      </c>
      <c r="DR10" t="s">
        <v>69</v>
      </c>
      <c r="DS10">
        <v>112</v>
      </c>
      <c r="DT10" t="s">
        <v>76</v>
      </c>
      <c r="DU10" t="s">
        <v>69</v>
      </c>
      <c r="DV10" t="s">
        <v>75</v>
      </c>
      <c r="DW10" t="s">
        <v>69</v>
      </c>
      <c r="DX10">
        <v>146.18899999999999</v>
      </c>
      <c r="DY10" t="s">
        <v>69</v>
      </c>
      <c r="DZ10" t="s">
        <v>69</v>
      </c>
      <c r="EA10">
        <v>117</v>
      </c>
      <c r="EB10" t="s">
        <v>119</v>
      </c>
      <c r="EC10" t="s">
        <v>153</v>
      </c>
      <c r="ED10" t="s">
        <v>120</v>
      </c>
      <c r="EE10" t="s">
        <v>153</v>
      </c>
      <c r="EF10">
        <v>147.131</v>
      </c>
      <c r="EG10" t="s">
        <v>69</v>
      </c>
      <c r="EH10" t="s">
        <v>69</v>
      </c>
      <c r="EI10">
        <v>118</v>
      </c>
      <c r="EJ10" t="s">
        <v>250</v>
      </c>
      <c r="EK10" t="s">
        <v>153</v>
      </c>
      <c r="EL10" t="s">
        <v>152</v>
      </c>
      <c r="EM10" t="s">
        <v>153</v>
      </c>
      <c r="EN10">
        <v>204.22800000000001</v>
      </c>
      <c r="EO10" t="s">
        <v>153</v>
      </c>
      <c r="EP10" t="s">
        <v>153</v>
      </c>
      <c r="EQ10">
        <v>119</v>
      </c>
      <c r="ER10" t="s">
        <v>72</v>
      </c>
      <c r="ES10" t="s">
        <v>153</v>
      </c>
      <c r="ET10" t="s">
        <v>71</v>
      </c>
      <c r="EU10" t="s">
        <v>153</v>
      </c>
      <c r="EV10">
        <v>131.17500000000001</v>
      </c>
      <c r="EW10" t="s">
        <v>69</v>
      </c>
      <c r="EX10" t="s">
        <v>69</v>
      </c>
      <c r="EY10">
        <v>121</v>
      </c>
      <c r="EZ10" t="s">
        <v>76</v>
      </c>
      <c r="FA10" t="s">
        <v>69</v>
      </c>
      <c r="FB10" t="s">
        <v>75</v>
      </c>
      <c r="FC10" t="s">
        <v>69</v>
      </c>
      <c r="FD10">
        <v>146.18899999999999</v>
      </c>
      <c r="FE10" t="s">
        <v>69</v>
      </c>
      <c r="FF10" t="s">
        <v>69</v>
      </c>
      <c r="FG10">
        <v>122</v>
      </c>
      <c r="FH10" t="s">
        <v>70</v>
      </c>
      <c r="FI10" t="s">
        <v>153</v>
      </c>
      <c r="FJ10" t="s">
        <v>71</v>
      </c>
      <c r="FK10" t="s">
        <v>69</v>
      </c>
      <c r="FL10">
        <v>75.066999999999993</v>
      </c>
      <c r="FM10" t="s">
        <v>153</v>
      </c>
      <c r="FN10" t="s">
        <v>69</v>
      </c>
      <c r="FO10">
        <v>126</v>
      </c>
      <c r="FP10" t="s">
        <v>74</v>
      </c>
      <c r="FQ10" t="s">
        <v>153</v>
      </c>
      <c r="FR10" t="s">
        <v>75</v>
      </c>
      <c r="FS10" t="s">
        <v>153</v>
      </c>
      <c r="FT10">
        <v>174.203</v>
      </c>
      <c r="FU10" t="s">
        <v>69</v>
      </c>
      <c r="FV10" t="s">
        <v>69</v>
      </c>
    </row>
    <row r="11" spans="1:178" x14ac:dyDescent="0.25">
      <c r="A11">
        <v>7</v>
      </c>
      <c r="B11" t="str">
        <f>HYPERLINK("http://www.ncbi.nlm.nih.gov/protein/XP_046951736.1","XP_046951736.1")</f>
        <v>XP_046951736.1</v>
      </c>
      <c r="C11">
        <v>38764</v>
      </c>
      <c r="D11" t="str">
        <f>HYPERLINK("http://www.ncbi.nlm.nih.gov/Taxonomy/Browser/wwwtax.cgi?mode=Info&amp;id=61384&amp;lvl=3&amp;lin=f&amp;keep=1&amp;srchmode=1&amp;unlock","61384")</f>
        <v>61384</v>
      </c>
      <c r="E11" t="s">
        <v>66</v>
      </c>
      <c r="F11" t="str">
        <f>HYPERLINK("http://www.ncbi.nlm.nih.gov/Taxonomy/Browser/wwwtax.cgi?mode=Info&amp;id=61384&amp;lvl=3&amp;lin=f&amp;keep=1&amp;srchmode=1&amp;unlock","Lynx rufus")</f>
        <v>Lynx rufus</v>
      </c>
      <c r="G11" t="s">
        <v>93</v>
      </c>
      <c r="H11" t="str">
        <f>HYPERLINK("http://www.ncbi.nlm.nih.gov/protein/XP_046951736.1","bone marrow stromal antigen 2-like")</f>
        <v>bone marrow stromal antigen 2-like</v>
      </c>
      <c r="I11" t="s">
        <v>248</v>
      </c>
      <c r="J11" t="s">
        <v>153</v>
      </c>
      <c r="K11">
        <v>35</v>
      </c>
      <c r="L11" t="s">
        <v>73</v>
      </c>
      <c r="M11" t="s">
        <v>69</v>
      </c>
      <c r="N11" t="s">
        <v>71</v>
      </c>
      <c r="O11" t="s">
        <v>69</v>
      </c>
      <c r="P11">
        <v>89.093999999999994</v>
      </c>
      <c r="Q11" t="s">
        <v>69</v>
      </c>
      <c r="R11" t="s">
        <v>69</v>
      </c>
      <c r="S11">
        <v>36</v>
      </c>
      <c r="T11" t="s">
        <v>153</v>
      </c>
      <c r="U11" t="s">
        <v>69</v>
      </c>
      <c r="V11" t="s">
        <v>148</v>
      </c>
      <c r="W11" t="s">
        <v>69</v>
      </c>
      <c r="X11">
        <v>132.119</v>
      </c>
      <c r="Y11" t="s">
        <v>69</v>
      </c>
      <c r="Z11" t="s">
        <v>69</v>
      </c>
      <c r="AA11">
        <v>37</v>
      </c>
      <c r="AB11" t="s">
        <v>155</v>
      </c>
      <c r="AC11" t="s">
        <v>69</v>
      </c>
      <c r="AD11" t="s">
        <v>150</v>
      </c>
      <c r="AE11" t="s">
        <v>69</v>
      </c>
      <c r="AF11">
        <v>105.093</v>
      </c>
      <c r="AG11" t="s">
        <v>69</v>
      </c>
      <c r="AH11" t="s">
        <v>69</v>
      </c>
      <c r="AI11">
        <v>38</v>
      </c>
      <c r="AJ11" t="s">
        <v>76</v>
      </c>
      <c r="AK11" t="s">
        <v>153</v>
      </c>
      <c r="AL11" t="s">
        <v>75</v>
      </c>
      <c r="AM11" t="s">
        <v>153</v>
      </c>
      <c r="AN11">
        <v>146.18899999999999</v>
      </c>
      <c r="AO11" t="s">
        <v>69</v>
      </c>
      <c r="AP11" t="s">
        <v>69</v>
      </c>
      <c r="AQ11">
        <v>39</v>
      </c>
      <c r="AR11" t="s">
        <v>73</v>
      </c>
      <c r="AS11" t="s">
        <v>69</v>
      </c>
      <c r="AT11" t="s">
        <v>71</v>
      </c>
      <c r="AU11" t="s">
        <v>69</v>
      </c>
      <c r="AV11">
        <v>89.093999999999994</v>
      </c>
      <c r="AW11" t="s">
        <v>69</v>
      </c>
      <c r="AX11" t="s">
        <v>69</v>
      </c>
      <c r="AY11">
        <v>40</v>
      </c>
      <c r="AZ11" t="s">
        <v>249</v>
      </c>
      <c r="BA11" t="s">
        <v>69</v>
      </c>
      <c r="BB11" t="s">
        <v>117</v>
      </c>
      <c r="BC11" t="s">
        <v>69</v>
      </c>
      <c r="BD11">
        <v>121.154</v>
      </c>
      <c r="BE11" t="s">
        <v>69</v>
      </c>
      <c r="BF11" t="s">
        <v>69</v>
      </c>
      <c r="BG11">
        <v>71</v>
      </c>
      <c r="BH11" t="s">
        <v>153</v>
      </c>
      <c r="BI11" t="s">
        <v>153</v>
      </c>
      <c r="BJ11" t="s">
        <v>148</v>
      </c>
      <c r="BK11" t="s">
        <v>153</v>
      </c>
      <c r="BL11">
        <v>132.119</v>
      </c>
      <c r="BM11" t="s">
        <v>69</v>
      </c>
      <c r="BN11" t="s">
        <v>69</v>
      </c>
      <c r="BO11">
        <v>72</v>
      </c>
      <c r="BP11" t="s">
        <v>119</v>
      </c>
      <c r="BQ11" t="s">
        <v>69</v>
      </c>
      <c r="BR11" t="s">
        <v>120</v>
      </c>
      <c r="BS11" t="s">
        <v>69</v>
      </c>
      <c r="BT11">
        <v>147.131</v>
      </c>
      <c r="BU11" t="s">
        <v>69</v>
      </c>
      <c r="BV11" t="s">
        <v>69</v>
      </c>
      <c r="BW11">
        <v>74</v>
      </c>
      <c r="BX11" t="s">
        <v>147</v>
      </c>
      <c r="BY11" t="s">
        <v>69</v>
      </c>
      <c r="BZ11" t="s">
        <v>148</v>
      </c>
      <c r="CA11" t="s">
        <v>69</v>
      </c>
      <c r="CB11">
        <v>146.14599999999999</v>
      </c>
      <c r="CC11" t="s">
        <v>69</v>
      </c>
      <c r="CD11" t="s">
        <v>69</v>
      </c>
      <c r="CE11">
        <v>75</v>
      </c>
      <c r="CF11" t="s">
        <v>73</v>
      </c>
      <c r="CG11" t="s">
        <v>69</v>
      </c>
      <c r="CH11" t="s">
        <v>71</v>
      </c>
      <c r="CI11" t="s">
        <v>69</v>
      </c>
      <c r="CJ11">
        <v>89.093999999999994</v>
      </c>
      <c r="CK11" t="s">
        <v>69</v>
      </c>
      <c r="CL11" t="s">
        <v>69</v>
      </c>
      <c r="CM11">
        <v>76</v>
      </c>
      <c r="CN11" t="s">
        <v>73</v>
      </c>
      <c r="CO11" t="s">
        <v>69</v>
      </c>
      <c r="CP11" t="s">
        <v>71</v>
      </c>
      <c r="CQ11" t="s">
        <v>69</v>
      </c>
      <c r="CR11">
        <v>89.093999999999994</v>
      </c>
      <c r="CS11" t="s">
        <v>69</v>
      </c>
      <c r="CT11" t="s">
        <v>69</v>
      </c>
      <c r="CU11">
        <v>78</v>
      </c>
      <c r="CV11" t="s">
        <v>249</v>
      </c>
      <c r="CW11" t="s">
        <v>69</v>
      </c>
      <c r="CX11" t="s">
        <v>117</v>
      </c>
      <c r="CY11" t="s">
        <v>69</v>
      </c>
      <c r="CZ11">
        <v>121.154</v>
      </c>
      <c r="DA11" t="s">
        <v>69</v>
      </c>
      <c r="DB11" t="s">
        <v>69</v>
      </c>
      <c r="DC11">
        <v>79</v>
      </c>
      <c r="DD11" t="s">
        <v>153</v>
      </c>
      <c r="DE11" t="s">
        <v>69</v>
      </c>
      <c r="DF11" t="s">
        <v>148</v>
      </c>
      <c r="DG11" t="s">
        <v>69</v>
      </c>
      <c r="DH11">
        <v>132.119</v>
      </c>
      <c r="DI11" t="s">
        <v>69</v>
      </c>
      <c r="DJ11" t="s">
        <v>69</v>
      </c>
      <c r="DK11">
        <v>92</v>
      </c>
      <c r="DL11" t="s">
        <v>119</v>
      </c>
      <c r="DM11" t="s">
        <v>69</v>
      </c>
      <c r="DN11" t="s">
        <v>120</v>
      </c>
      <c r="DO11" t="s">
        <v>69</v>
      </c>
      <c r="DP11">
        <v>147.131</v>
      </c>
      <c r="DQ11" t="s">
        <v>69</v>
      </c>
      <c r="DR11" t="s">
        <v>69</v>
      </c>
      <c r="DS11">
        <v>93</v>
      </c>
      <c r="DT11" t="s">
        <v>76</v>
      </c>
      <c r="DU11" t="s">
        <v>69</v>
      </c>
      <c r="DV11" t="s">
        <v>75</v>
      </c>
      <c r="DW11" t="s">
        <v>69</v>
      </c>
      <c r="DX11">
        <v>146.18899999999999</v>
      </c>
      <c r="DY11" t="s">
        <v>69</v>
      </c>
      <c r="DZ11" t="s">
        <v>69</v>
      </c>
      <c r="EA11">
        <v>98</v>
      </c>
      <c r="EB11" t="s">
        <v>119</v>
      </c>
      <c r="EC11" t="s">
        <v>153</v>
      </c>
      <c r="ED11" t="s">
        <v>120</v>
      </c>
      <c r="EE11" t="s">
        <v>153</v>
      </c>
      <c r="EF11">
        <v>147.131</v>
      </c>
      <c r="EG11" t="s">
        <v>69</v>
      </c>
      <c r="EH11" t="s">
        <v>69</v>
      </c>
      <c r="EI11">
        <v>99</v>
      </c>
      <c r="EJ11" t="s">
        <v>250</v>
      </c>
      <c r="EK11" t="s">
        <v>153</v>
      </c>
      <c r="EL11" t="s">
        <v>152</v>
      </c>
      <c r="EM11" t="s">
        <v>153</v>
      </c>
      <c r="EN11">
        <v>204.22800000000001</v>
      </c>
      <c r="EO11" t="s">
        <v>153</v>
      </c>
      <c r="EP11" t="s">
        <v>153</v>
      </c>
      <c r="EQ11">
        <v>100</v>
      </c>
      <c r="ER11" t="s">
        <v>72</v>
      </c>
      <c r="ES11" t="s">
        <v>153</v>
      </c>
      <c r="ET11" t="s">
        <v>71</v>
      </c>
      <c r="EU11" t="s">
        <v>153</v>
      </c>
      <c r="EV11">
        <v>131.17500000000001</v>
      </c>
      <c r="EW11" t="s">
        <v>69</v>
      </c>
      <c r="EX11" t="s">
        <v>69</v>
      </c>
      <c r="EY11">
        <v>102</v>
      </c>
      <c r="EZ11" t="s">
        <v>76</v>
      </c>
      <c r="FA11" t="s">
        <v>69</v>
      </c>
      <c r="FB11" t="s">
        <v>75</v>
      </c>
      <c r="FC11" t="s">
        <v>69</v>
      </c>
      <c r="FD11">
        <v>146.18899999999999</v>
      </c>
      <c r="FE11" t="s">
        <v>69</v>
      </c>
      <c r="FF11" t="s">
        <v>69</v>
      </c>
      <c r="FG11">
        <v>103</v>
      </c>
      <c r="FH11" t="s">
        <v>70</v>
      </c>
      <c r="FI11" t="s">
        <v>153</v>
      </c>
      <c r="FJ11" t="s">
        <v>71</v>
      </c>
      <c r="FK11" t="s">
        <v>69</v>
      </c>
      <c r="FL11">
        <v>75.066999999999993</v>
      </c>
      <c r="FM11" t="s">
        <v>153</v>
      </c>
      <c r="FN11" t="s">
        <v>69</v>
      </c>
      <c r="FO11">
        <v>107</v>
      </c>
      <c r="FP11" t="s">
        <v>74</v>
      </c>
      <c r="FQ11" t="s">
        <v>153</v>
      </c>
      <c r="FR11" t="s">
        <v>75</v>
      </c>
      <c r="FS11" t="s">
        <v>153</v>
      </c>
      <c r="FT11">
        <v>174.203</v>
      </c>
      <c r="FU11" t="s">
        <v>69</v>
      </c>
      <c r="FV11" t="s">
        <v>69</v>
      </c>
    </row>
    <row r="12" spans="1:178" x14ac:dyDescent="0.25">
      <c r="A12">
        <v>7</v>
      </c>
      <c r="B12" t="str">
        <f>HYPERLINK("http://www.ncbi.nlm.nih.gov/protein/XP_030159828.1","XP_030159828.1")</f>
        <v>XP_030159828.1</v>
      </c>
      <c r="C12">
        <v>42175</v>
      </c>
      <c r="D12" t="str">
        <f>HYPERLINK("http://www.ncbi.nlm.nih.gov/Taxonomy/Browser/wwwtax.cgi?mode=Info&amp;id=61383&amp;lvl=3&amp;lin=f&amp;keep=1&amp;srchmode=1&amp;unlock","61383")</f>
        <v>61383</v>
      </c>
      <c r="E12" t="s">
        <v>66</v>
      </c>
      <c r="F12" t="str">
        <f>HYPERLINK("http://www.ncbi.nlm.nih.gov/Taxonomy/Browser/wwwtax.cgi?mode=Info&amp;id=61383&amp;lvl=3&amp;lin=f&amp;keep=1&amp;srchmode=1&amp;unlock","Lynx canadensis")</f>
        <v>Lynx canadensis</v>
      </c>
      <c r="G12" t="s">
        <v>105</v>
      </c>
      <c r="H12" t="str">
        <f>HYPERLINK("http://www.ncbi.nlm.nih.gov/protein/XP_030159828.1","bone marrow stromal antigen 2")</f>
        <v>bone marrow stromal antigen 2</v>
      </c>
      <c r="I12" t="s">
        <v>248</v>
      </c>
      <c r="J12" t="s">
        <v>153</v>
      </c>
      <c r="K12">
        <v>35</v>
      </c>
      <c r="L12" t="s">
        <v>73</v>
      </c>
      <c r="M12" t="s">
        <v>69</v>
      </c>
      <c r="N12" t="s">
        <v>71</v>
      </c>
      <c r="O12" t="s">
        <v>69</v>
      </c>
      <c r="P12">
        <v>89.093999999999994</v>
      </c>
      <c r="Q12" t="s">
        <v>69</v>
      </c>
      <c r="R12" t="s">
        <v>69</v>
      </c>
      <c r="S12">
        <v>36</v>
      </c>
      <c r="T12" t="s">
        <v>153</v>
      </c>
      <c r="U12" t="s">
        <v>69</v>
      </c>
      <c r="V12" t="s">
        <v>148</v>
      </c>
      <c r="W12" t="s">
        <v>69</v>
      </c>
      <c r="X12">
        <v>132.119</v>
      </c>
      <c r="Y12" t="s">
        <v>69</v>
      </c>
      <c r="Z12" t="s">
        <v>69</v>
      </c>
      <c r="AA12">
        <v>37</v>
      </c>
      <c r="AB12" t="s">
        <v>155</v>
      </c>
      <c r="AC12" t="s">
        <v>69</v>
      </c>
      <c r="AD12" t="s">
        <v>150</v>
      </c>
      <c r="AE12" t="s">
        <v>69</v>
      </c>
      <c r="AF12">
        <v>105.093</v>
      </c>
      <c r="AG12" t="s">
        <v>69</v>
      </c>
      <c r="AH12" t="s">
        <v>69</v>
      </c>
      <c r="AI12">
        <v>38</v>
      </c>
      <c r="AJ12" t="s">
        <v>76</v>
      </c>
      <c r="AK12" t="s">
        <v>153</v>
      </c>
      <c r="AL12" t="s">
        <v>75</v>
      </c>
      <c r="AM12" t="s">
        <v>153</v>
      </c>
      <c r="AN12">
        <v>146.18899999999999</v>
      </c>
      <c r="AO12" t="s">
        <v>69</v>
      </c>
      <c r="AP12" t="s">
        <v>69</v>
      </c>
      <c r="AQ12">
        <v>39</v>
      </c>
      <c r="AR12" t="s">
        <v>73</v>
      </c>
      <c r="AS12" t="s">
        <v>69</v>
      </c>
      <c r="AT12" t="s">
        <v>71</v>
      </c>
      <c r="AU12" t="s">
        <v>69</v>
      </c>
      <c r="AV12">
        <v>89.093999999999994</v>
      </c>
      <c r="AW12" t="s">
        <v>69</v>
      </c>
      <c r="AX12" t="s">
        <v>69</v>
      </c>
      <c r="AY12">
        <v>40</v>
      </c>
      <c r="AZ12" t="s">
        <v>249</v>
      </c>
      <c r="BA12" t="s">
        <v>69</v>
      </c>
      <c r="BB12" t="s">
        <v>117</v>
      </c>
      <c r="BC12" t="s">
        <v>69</v>
      </c>
      <c r="BD12">
        <v>121.154</v>
      </c>
      <c r="BE12" t="s">
        <v>69</v>
      </c>
      <c r="BF12" t="s">
        <v>69</v>
      </c>
      <c r="BG12">
        <v>71</v>
      </c>
      <c r="BH12" t="s">
        <v>153</v>
      </c>
      <c r="BI12" t="s">
        <v>153</v>
      </c>
      <c r="BJ12" t="s">
        <v>148</v>
      </c>
      <c r="BK12" t="s">
        <v>153</v>
      </c>
      <c r="BL12">
        <v>132.119</v>
      </c>
      <c r="BM12" t="s">
        <v>69</v>
      </c>
      <c r="BN12" t="s">
        <v>69</v>
      </c>
      <c r="BO12">
        <v>72</v>
      </c>
      <c r="BP12" t="s">
        <v>119</v>
      </c>
      <c r="BQ12" t="s">
        <v>69</v>
      </c>
      <c r="BR12" t="s">
        <v>120</v>
      </c>
      <c r="BS12" t="s">
        <v>69</v>
      </c>
      <c r="BT12">
        <v>147.131</v>
      </c>
      <c r="BU12" t="s">
        <v>69</v>
      </c>
      <c r="BV12" t="s">
        <v>69</v>
      </c>
      <c r="BW12">
        <v>74</v>
      </c>
      <c r="BX12" t="s">
        <v>147</v>
      </c>
      <c r="BY12" t="s">
        <v>69</v>
      </c>
      <c r="BZ12" t="s">
        <v>148</v>
      </c>
      <c r="CA12" t="s">
        <v>69</v>
      </c>
      <c r="CB12">
        <v>146.14599999999999</v>
      </c>
      <c r="CC12" t="s">
        <v>69</v>
      </c>
      <c r="CD12" t="s">
        <v>69</v>
      </c>
      <c r="CE12">
        <v>75</v>
      </c>
      <c r="CF12" t="s">
        <v>73</v>
      </c>
      <c r="CG12" t="s">
        <v>69</v>
      </c>
      <c r="CH12" t="s">
        <v>71</v>
      </c>
      <c r="CI12" t="s">
        <v>69</v>
      </c>
      <c r="CJ12">
        <v>89.093999999999994</v>
      </c>
      <c r="CK12" t="s">
        <v>69</v>
      </c>
      <c r="CL12" t="s">
        <v>69</v>
      </c>
      <c r="CM12">
        <v>76</v>
      </c>
      <c r="CN12" t="s">
        <v>73</v>
      </c>
      <c r="CO12" t="s">
        <v>69</v>
      </c>
      <c r="CP12" t="s">
        <v>71</v>
      </c>
      <c r="CQ12" t="s">
        <v>69</v>
      </c>
      <c r="CR12">
        <v>89.093999999999994</v>
      </c>
      <c r="CS12" t="s">
        <v>69</v>
      </c>
      <c r="CT12" t="s">
        <v>69</v>
      </c>
      <c r="CU12">
        <v>78</v>
      </c>
      <c r="CV12" t="s">
        <v>249</v>
      </c>
      <c r="CW12" t="s">
        <v>69</v>
      </c>
      <c r="CX12" t="s">
        <v>117</v>
      </c>
      <c r="CY12" t="s">
        <v>69</v>
      </c>
      <c r="CZ12">
        <v>121.154</v>
      </c>
      <c r="DA12" t="s">
        <v>69</v>
      </c>
      <c r="DB12" t="s">
        <v>69</v>
      </c>
      <c r="DC12">
        <v>79</v>
      </c>
      <c r="DD12" t="s">
        <v>153</v>
      </c>
      <c r="DE12" t="s">
        <v>69</v>
      </c>
      <c r="DF12" t="s">
        <v>148</v>
      </c>
      <c r="DG12" t="s">
        <v>69</v>
      </c>
      <c r="DH12">
        <v>132.119</v>
      </c>
      <c r="DI12" t="s">
        <v>69</v>
      </c>
      <c r="DJ12" t="s">
        <v>69</v>
      </c>
      <c r="DK12">
        <v>92</v>
      </c>
      <c r="DL12" t="s">
        <v>119</v>
      </c>
      <c r="DM12" t="s">
        <v>69</v>
      </c>
      <c r="DN12" t="s">
        <v>120</v>
      </c>
      <c r="DO12" t="s">
        <v>69</v>
      </c>
      <c r="DP12">
        <v>147.131</v>
      </c>
      <c r="DQ12" t="s">
        <v>69</v>
      </c>
      <c r="DR12" t="s">
        <v>69</v>
      </c>
      <c r="DS12">
        <v>93</v>
      </c>
      <c r="DT12" t="s">
        <v>76</v>
      </c>
      <c r="DU12" t="s">
        <v>69</v>
      </c>
      <c r="DV12" t="s">
        <v>75</v>
      </c>
      <c r="DW12" t="s">
        <v>69</v>
      </c>
      <c r="DX12">
        <v>146.18899999999999</v>
      </c>
      <c r="DY12" t="s">
        <v>69</v>
      </c>
      <c r="DZ12" t="s">
        <v>69</v>
      </c>
      <c r="EA12">
        <v>98</v>
      </c>
      <c r="EB12" t="s">
        <v>119</v>
      </c>
      <c r="EC12" t="s">
        <v>153</v>
      </c>
      <c r="ED12" t="s">
        <v>120</v>
      </c>
      <c r="EE12" t="s">
        <v>153</v>
      </c>
      <c r="EF12">
        <v>147.131</v>
      </c>
      <c r="EG12" t="s">
        <v>69</v>
      </c>
      <c r="EH12" t="s">
        <v>69</v>
      </c>
      <c r="EI12">
        <v>99</v>
      </c>
      <c r="EJ12" t="s">
        <v>250</v>
      </c>
      <c r="EK12" t="s">
        <v>153</v>
      </c>
      <c r="EL12" t="s">
        <v>152</v>
      </c>
      <c r="EM12" t="s">
        <v>153</v>
      </c>
      <c r="EN12">
        <v>204.22800000000001</v>
      </c>
      <c r="EO12" t="s">
        <v>153</v>
      </c>
      <c r="EP12" t="s">
        <v>153</v>
      </c>
      <c r="EQ12">
        <v>100</v>
      </c>
      <c r="ER12" t="s">
        <v>72</v>
      </c>
      <c r="ES12" t="s">
        <v>153</v>
      </c>
      <c r="ET12" t="s">
        <v>71</v>
      </c>
      <c r="EU12" t="s">
        <v>153</v>
      </c>
      <c r="EV12">
        <v>131.17500000000001</v>
      </c>
      <c r="EW12" t="s">
        <v>69</v>
      </c>
      <c r="EX12" t="s">
        <v>69</v>
      </c>
      <c r="EY12">
        <v>102</v>
      </c>
      <c r="EZ12" t="s">
        <v>76</v>
      </c>
      <c r="FA12" t="s">
        <v>69</v>
      </c>
      <c r="FB12" t="s">
        <v>75</v>
      </c>
      <c r="FC12" t="s">
        <v>69</v>
      </c>
      <c r="FD12">
        <v>146.18899999999999</v>
      </c>
      <c r="FE12" t="s">
        <v>69</v>
      </c>
      <c r="FF12" t="s">
        <v>69</v>
      </c>
      <c r="FG12">
        <v>103</v>
      </c>
      <c r="FH12" t="s">
        <v>70</v>
      </c>
      <c r="FI12" t="s">
        <v>153</v>
      </c>
      <c r="FJ12" t="s">
        <v>71</v>
      </c>
      <c r="FK12" t="s">
        <v>69</v>
      </c>
      <c r="FL12">
        <v>75.066999999999993</v>
      </c>
      <c r="FM12" t="s">
        <v>153</v>
      </c>
      <c r="FN12" t="s">
        <v>69</v>
      </c>
      <c r="FO12">
        <v>107</v>
      </c>
      <c r="FP12" t="s">
        <v>74</v>
      </c>
      <c r="FQ12" t="s">
        <v>153</v>
      </c>
      <c r="FR12" t="s">
        <v>75</v>
      </c>
      <c r="FS12" t="s">
        <v>153</v>
      </c>
      <c r="FT12">
        <v>174.203</v>
      </c>
      <c r="FU12" t="s">
        <v>69</v>
      </c>
      <c r="FV12" t="s">
        <v>69</v>
      </c>
    </row>
    <row r="13" spans="1:178" x14ac:dyDescent="0.25">
      <c r="A13">
        <v>7</v>
      </c>
      <c r="B13" t="str">
        <f>HYPERLINK("http://www.ncbi.nlm.nih.gov/protein/XP_015395909.2","XP_015395909.2")</f>
        <v>XP_015395909.2</v>
      </c>
      <c r="C13">
        <v>56089</v>
      </c>
      <c r="D13" t="str">
        <f>HYPERLINK("http://www.ncbi.nlm.nih.gov/Taxonomy/Browser/wwwtax.cgi?mode=Info&amp;id=9694&amp;lvl=3&amp;lin=f&amp;keep=1&amp;srchmode=1&amp;unlock","9694")</f>
        <v>9694</v>
      </c>
      <c r="E13" t="s">
        <v>66</v>
      </c>
      <c r="F13" t="str">
        <f>HYPERLINK("http://www.ncbi.nlm.nih.gov/Taxonomy/Browser/wwwtax.cgi?mode=Info&amp;id=9694&amp;lvl=3&amp;lin=f&amp;keep=1&amp;srchmode=1&amp;unlock","Panthera tigris")</f>
        <v>Panthera tigris</v>
      </c>
      <c r="G13" t="s">
        <v>89</v>
      </c>
      <c r="H13" t="str">
        <f>HYPERLINK("http://www.ncbi.nlm.nih.gov/protein/XP_015395909.2","bone marrow stromal antigen 2")</f>
        <v>bone marrow stromal antigen 2</v>
      </c>
      <c r="I13" t="s">
        <v>248</v>
      </c>
      <c r="J13" t="s">
        <v>153</v>
      </c>
      <c r="K13">
        <v>35</v>
      </c>
      <c r="L13" t="s">
        <v>73</v>
      </c>
      <c r="M13" t="s">
        <v>69</v>
      </c>
      <c r="N13" t="s">
        <v>71</v>
      </c>
      <c r="O13" t="s">
        <v>69</v>
      </c>
      <c r="P13">
        <v>89.093999999999994</v>
      </c>
      <c r="Q13" t="s">
        <v>69</v>
      </c>
      <c r="R13" t="s">
        <v>69</v>
      </c>
      <c r="S13">
        <v>36</v>
      </c>
      <c r="T13" t="s">
        <v>153</v>
      </c>
      <c r="U13" t="s">
        <v>69</v>
      </c>
      <c r="V13" t="s">
        <v>148</v>
      </c>
      <c r="W13" t="s">
        <v>69</v>
      </c>
      <c r="X13">
        <v>132.119</v>
      </c>
      <c r="Y13" t="s">
        <v>69</v>
      </c>
      <c r="Z13" t="s">
        <v>69</v>
      </c>
      <c r="AA13">
        <v>37</v>
      </c>
      <c r="AB13" t="s">
        <v>155</v>
      </c>
      <c r="AC13" t="s">
        <v>69</v>
      </c>
      <c r="AD13" t="s">
        <v>150</v>
      </c>
      <c r="AE13" t="s">
        <v>69</v>
      </c>
      <c r="AF13">
        <v>105.093</v>
      </c>
      <c r="AG13" t="s">
        <v>69</v>
      </c>
      <c r="AH13" t="s">
        <v>69</v>
      </c>
      <c r="AI13">
        <v>38</v>
      </c>
      <c r="AJ13" t="s">
        <v>76</v>
      </c>
      <c r="AK13" t="s">
        <v>153</v>
      </c>
      <c r="AL13" t="s">
        <v>75</v>
      </c>
      <c r="AM13" t="s">
        <v>153</v>
      </c>
      <c r="AN13">
        <v>146.18899999999999</v>
      </c>
      <c r="AO13" t="s">
        <v>69</v>
      </c>
      <c r="AP13" t="s">
        <v>69</v>
      </c>
      <c r="AQ13">
        <v>39</v>
      </c>
      <c r="AR13" t="s">
        <v>73</v>
      </c>
      <c r="AS13" t="s">
        <v>69</v>
      </c>
      <c r="AT13" t="s">
        <v>71</v>
      </c>
      <c r="AU13" t="s">
        <v>69</v>
      </c>
      <c r="AV13">
        <v>89.093999999999994</v>
      </c>
      <c r="AW13" t="s">
        <v>69</v>
      </c>
      <c r="AX13" t="s">
        <v>69</v>
      </c>
      <c r="AY13">
        <v>40</v>
      </c>
      <c r="AZ13" t="s">
        <v>249</v>
      </c>
      <c r="BA13" t="s">
        <v>69</v>
      </c>
      <c r="BB13" t="s">
        <v>117</v>
      </c>
      <c r="BC13" t="s">
        <v>69</v>
      </c>
      <c r="BD13">
        <v>121.154</v>
      </c>
      <c r="BE13" t="s">
        <v>69</v>
      </c>
      <c r="BF13" t="s">
        <v>69</v>
      </c>
      <c r="BG13">
        <v>71</v>
      </c>
      <c r="BH13" t="s">
        <v>149</v>
      </c>
      <c r="BI13" t="s">
        <v>153</v>
      </c>
      <c r="BJ13" t="s">
        <v>150</v>
      </c>
      <c r="BK13" t="s">
        <v>153</v>
      </c>
      <c r="BL13">
        <v>119.119</v>
      </c>
      <c r="BM13" t="s">
        <v>69</v>
      </c>
      <c r="BN13" t="s">
        <v>69</v>
      </c>
      <c r="BO13">
        <v>72</v>
      </c>
      <c r="BP13" t="s">
        <v>119</v>
      </c>
      <c r="BQ13" t="s">
        <v>69</v>
      </c>
      <c r="BR13" t="s">
        <v>120</v>
      </c>
      <c r="BS13" t="s">
        <v>69</v>
      </c>
      <c r="BT13">
        <v>147.131</v>
      </c>
      <c r="BU13" t="s">
        <v>69</v>
      </c>
      <c r="BV13" t="s">
        <v>69</v>
      </c>
      <c r="BW13">
        <v>74</v>
      </c>
      <c r="BX13" t="s">
        <v>147</v>
      </c>
      <c r="BY13" t="s">
        <v>69</v>
      </c>
      <c r="BZ13" t="s">
        <v>148</v>
      </c>
      <c r="CA13" t="s">
        <v>69</v>
      </c>
      <c r="CB13">
        <v>146.14599999999999</v>
      </c>
      <c r="CC13" t="s">
        <v>69</v>
      </c>
      <c r="CD13" t="s">
        <v>69</v>
      </c>
      <c r="CE13">
        <v>75</v>
      </c>
      <c r="CF13" t="s">
        <v>73</v>
      </c>
      <c r="CG13" t="s">
        <v>69</v>
      </c>
      <c r="CH13" t="s">
        <v>71</v>
      </c>
      <c r="CI13" t="s">
        <v>69</v>
      </c>
      <c r="CJ13">
        <v>89.093999999999994</v>
      </c>
      <c r="CK13" t="s">
        <v>69</v>
      </c>
      <c r="CL13" t="s">
        <v>69</v>
      </c>
      <c r="CM13">
        <v>76</v>
      </c>
      <c r="CN13" t="s">
        <v>73</v>
      </c>
      <c r="CO13" t="s">
        <v>69</v>
      </c>
      <c r="CP13" t="s">
        <v>71</v>
      </c>
      <c r="CQ13" t="s">
        <v>69</v>
      </c>
      <c r="CR13">
        <v>89.093999999999994</v>
      </c>
      <c r="CS13" t="s">
        <v>69</v>
      </c>
      <c r="CT13" t="s">
        <v>69</v>
      </c>
      <c r="CU13">
        <v>78</v>
      </c>
      <c r="CV13" t="s">
        <v>249</v>
      </c>
      <c r="CW13" t="s">
        <v>69</v>
      </c>
      <c r="CX13" t="s">
        <v>117</v>
      </c>
      <c r="CY13" t="s">
        <v>69</v>
      </c>
      <c r="CZ13">
        <v>121.154</v>
      </c>
      <c r="DA13" t="s">
        <v>69</v>
      </c>
      <c r="DB13" t="s">
        <v>69</v>
      </c>
      <c r="DC13">
        <v>79</v>
      </c>
      <c r="DD13" t="s">
        <v>153</v>
      </c>
      <c r="DE13" t="s">
        <v>69</v>
      </c>
      <c r="DF13" t="s">
        <v>148</v>
      </c>
      <c r="DG13" t="s">
        <v>69</v>
      </c>
      <c r="DH13">
        <v>132.119</v>
      </c>
      <c r="DI13" t="s">
        <v>69</v>
      </c>
      <c r="DJ13" t="s">
        <v>69</v>
      </c>
      <c r="DK13">
        <v>92</v>
      </c>
      <c r="DL13" t="s">
        <v>119</v>
      </c>
      <c r="DM13" t="s">
        <v>69</v>
      </c>
      <c r="DN13" t="s">
        <v>120</v>
      </c>
      <c r="DO13" t="s">
        <v>69</v>
      </c>
      <c r="DP13">
        <v>147.131</v>
      </c>
      <c r="DQ13" t="s">
        <v>69</v>
      </c>
      <c r="DR13" t="s">
        <v>69</v>
      </c>
      <c r="DS13">
        <v>93</v>
      </c>
      <c r="DT13" t="s">
        <v>76</v>
      </c>
      <c r="DU13" t="s">
        <v>69</v>
      </c>
      <c r="DV13" t="s">
        <v>75</v>
      </c>
      <c r="DW13" t="s">
        <v>69</v>
      </c>
      <c r="DX13">
        <v>146.18899999999999</v>
      </c>
      <c r="DY13" t="s">
        <v>69</v>
      </c>
      <c r="DZ13" t="s">
        <v>69</v>
      </c>
      <c r="EA13">
        <v>98</v>
      </c>
      <c r="EB13" t="s">
        <v>119</v>
      </c>
      <c r="EC13" t="s">
        <v>153</v>
      </c>
      <c r="ED13" t="s">
        <v>120</v>
      </c>
      <c r="EE13" t="s">
        <v>153</v>
      </c>
      <c r="EF13">
        <v>147.131</v>
      </c>
      <c r="EG13" t="s">
        <v>69</v>
      </c>
      <c r="EH13" t="s">
        <v>69</v>
      </c>
      <c r="EI13">
        <v>99</v>
      </c>
      <c r="EJ13" t="s">
        <v>250</v>
      </c>
      <c r="EK13" t="s">
        <v>153</v>
      </c>
      <c r="EL13" t="s">
        <v>152</v>
      </c>
      <c r="EM13" t="s">
        <v>153</v>
      </c>
      <c r="EN13">
        <v>204.22800000000001</v>
      </c>
      <c r="EO13" t="s">
        <v>153</v>
      </c>
      <c r="EP13" t="s">
        <v>153</v>
      </c>
      <c r="EQ13">
        <v>100</v>
      </c>
      <c r="ER13" t="s">
        <v>72</v>
      </c>
      <c r="ES13" t="s">
        <v>153</v>
      </c>
      <c r="ET13" t="s">
        <v>71</v>
      </c>
      <c r="EU13" t="s">
        <v>153</v>
      </c>
      <c r="EV13">
        <v>131.17500000000001</v>
      </c>
      <c r="EW13" t="s">
        <v>69</v>
      </c>
      <c r="EX13" t="s">
        <v>69</v>
      </c>
      <c r="EY13">
        <v>102</v>
      </c>
      <c r="EZ13" t="s">
        <v>76</v>
      </c>
      <c r="FA13" t="s">
        <v>69</v>
      </c>
      <c r="FB13" t="s">
        <v>75</v>
      </c>
      <c r="FC13" t="s">
        <v>69</v>
      </c>
      <c r="FD13">
        <v>146.18899999999999</v>
      </c>
      <c r="FE13" t="s">
        <v>69</v>
      </c>
      <c r="FF13" t="s">
        <v>69</v>
      </c>
      <c r="FG13">
        <v>103</v>
      </c>
      <c r="FH13" t="s">
        <v>74</v>
      </c>
      <c r="FI13" t="s">
        <v>153</v>
      </c>
      <c r="FJ13" t="s">
        <v>75</v>
      </c>
      <c r="FK13" t="s">
        <v>153</v>
      </c>
      <c r="FL13">
        <v>174.203</v>
      </c>
      <c r="FM13" t="s">
        <v>153</v>
      </c>
      <c r="FN13" t="s">
        <v>153</v>
      </c>
      <c r="FO13">
        <v>107</v>
      </c>
      <c r="FP13" t="s">
        <v>74</v>
      </c>
      <c r="FQ13" t="s">
        <v>153</v>
      </c>
      <c r="FR13" t="s">
        <v>75</v>
      </c>
      <c r="FS13" t="s">
        <v>153</v>
      </c>
      <c r="FT13">
        <v>174.203</v>
      </c>
      <c r="FU13" t="s">
        <v>69</v>
      </c>
      <c r="FV13" t="s">
        <v>69</v>
      </c>
    </row>
    <row r="14" spans="1:178" x14ac:dyDescent="0.25">
      <c r="A14">
        <v>7</v>
      </c>
      <c r="B14" t="str">
        <f>HYPERLINK("http://www.ncbi.nlm.nih.gov/protein/XP_042784790.1","XP_042784790.1")</f>
        <v>XP_042784790.1</v>
      </c>
      <c r="C14">
        <v>53677</v>
      </c>
      <c r="D14" t="str">
        <f>HYPERLINK("http://www.ncbi.nlm.nih.gov/Taxonomy/Browser/wwwtax.cgi?mode=Info&amp;id=9689&amp;lvl=3&amp;lin=f&amp;keep=1&amp;srchmode=1&amp;unlock","9689")</f>
        <v>9689</v>
      </c>
      <c r="E14" t="s">
        <v>66</v>
      </c>
      <c r="F14" t="str">
        <f>HYPERLINK("http://www.ncbi.nlm.nih.gov/Taxonomy/Browser/wwwtax.cgi?mode=Info&amp;id=9689&amp;lvl=3&amp;lin=f&amp;keep=1&amp;srchmode=1&amp;unlock","Panthera leo")</f>
        <v>Panthera leo</v>
      </c>
      <c r="G14" t="s">
        <v>90</v>
      </c>
      <c r="H14" t="str">
        <f>HYPERLINK("http://www.ncbi.nlm.nih.gov/protein/XP_042784790.1","bone marrow stromal antigen 2")</f>
        <v>bone marrow stromal antigen 2</v>
      </c>
      <c r="I14" t="s">
        <v>248</v>
      </c>
      <c r="J14" t="s">
        <v>153</v>
      </c>
      <c r="K14">
        <v>35</v>
      </c>
      <c r="L14" t="s">
        <v>73</v>
      </c>
      <c r="M14" t="s">
        <v>69</v>
      </c>
      <c r="N14" t="s">
        <v>71</v>
      </c>
      <c r="O14" t="s">
        <v>69</v>
      </c>
      <c r="P14">
        <v>89.093999999999994</v>
      </c>
      <c r="Q14" t="s">
        <v>69</v>
      </c>
      <c r="R14" t="s">
        <v>69</v>
      </c>
      <c r="S14">
        <v>36</v>
      </c>
      <c r="T14" t="s">
        <v>153</v>
      </c>
      <c r="U14" t="s">
        <v>69</v>
      </c>
      <c r="V14" t="s">
        <v>148</v>
      </c>
      <c r="W14" t="s">
        <v>69</v>
      </c>
      <c r="X14">
        <v>132.119</v>
      </c>
      <c r="Y14" t="s">
        <v>69</v>
      </c>
      <c r="Z14" t="s">
        <v>69</v>
      </c>
      <c r="AA14">
        <v>37</v>
      </c>
      <c r="AB14" t="s">
        <v>155</v>
      </c>
      <c r="AC14" t="s">
        <v>69</v>
      </c>
      <c r="AD14" t="s">
        <v>150</v>
      </c>
      <c r="AE14" t="s">
        <v>69</v>
      </c>
      <c r="AF14">
        <v>105.093</v>
      </c>
      <c r="AG14" t="s">
        <v>69</v>
      </c>
      <c r="AH14" t="s">
        <v>69</v>
      </c>
      <c r="AI14">
        <v>38</v>
      </c>
      <c r="AJ14" t="s">
        <v>76</v>
      </c>
      <c r="AK14" t="s">
        <v>153</v>
      </c>
      <c r="AL14" t="s">
        <v>75</v>
      </c>
      <c r="AM14" t="s">
        <v>153</v>
      </c>
      <c r="AN14">
        <v>146.18899999999999</v>
      </c>
      <c r="AO14" t="s">
        <v>69</v>
      </c>
      <c r="AP14" t="s">
        <v>69</v>
      </c>
      <c r="AQ14">
        <v>39</v>
      </c>
      <c r="AR14" t="s">
        <v>73</v>
      </c>
      <c r="AS14" t="s">
        <v>69</v>
      </c>
      <c r="AT14" t="s">
        <v>71</v>
      </c>
      <c r="AU14" t="s">
        <v>69</v>
      </c>
      <c r="AV14">
        <v>89.093999999999994</v>
      </c>
      <c r="AW14" t="s">
        <v>69</v>
      </c>
      <c r="AX14" t="s">
        <v>69</v>
      </c>
      <c r="AY14">
        <v>40</v>
      </c>
      <c r="AZ14" t="s">
        <v>249</v>
      </c>
      <c r="BA14" t="s">
        <v>69</v>
      </c>
      <c r="BB14" t="s">
        <v>117</v>
      </c>
      <c r="BC14" t="s">
        <v>69</v>
      </c>
      <c r="BD14">
        <v>121.154</v>
      </c>
      <c r="BE14" t="s">
        <v>69</v>
      </c>
      <c r="BF14" t="s">
        <v>69</v>
      </c>
      <c r="BG14">
        <v>71</v>
      </c>
      <c r="BH14" t="s">
        <v>149</v>
      </c>
      <c r="BI14" t="s">
        <v>153</v>
      </c>
      <c r="BJ14" t="s">
        <v>150</v>
      </c>
      <c r="BK14" t="s">
        <v>153</v>
      </c>
      <c r="BL14">
        <v>119.119</v>
      </c>
      <c r="BM14" t="s">
        <v>69</v>
      </c>
      <c r="BN14" t="s">
        <v>69</v>
      </c>
      <c r="BO14">
        <v>72</v>
      </c>
      <c r="BP14" t="s">
        <v>119</v>
      </c>
      <c r="BQ14" t="s">
        <v>69</v>
      </c>
      <c r="BR14" t="s">
        <v>120</v>
      </c>
      <c r="BS14" t="s">
        <v>69</v>
      </c>
      <c r="BT14">
        <v>147.131</v>
      </c>
      <c r="BU14" t="s">
        <v>69</v>
      </c>
      <c r="BV14" t="s">
        <v>69</v>
      </c>
      <c r="BW14">
        <v>74</v>
      </c>
      <c r="BX14" t="s">
        <v>147</v>
      </c>
      <c r="BY14" t="s">
        <v>69</v>
      </c>
      <c r="BZ14" t="s">
        <v>148</v>
      </c>
      <c r="CA14" t="s">
        <v>69</v>
      </c>
      <c r="CB14">
        <v>146.14599999999999</v>
      </c>
      <c r="CC14" t="s">
        <v>69</v>
      </c>
      <c r="CD14" t="s">
        <v>69</v>
      </c>
      <c r="CE14">
        <v>75</v>
      </c>
      <c r="CF14" t="s">
        <v>73</v>
      </c>
      <c r="CG14" t="s">
        <v>69</v>
      </c>
      <c r="CH14" t="s">
        <v>71</v>
      </c>
      <c r="CI14" t="s">
        <v>69</v>
      </c>
      <c r="CJ14">
        <v>89.093999999999994</v>
      </c>
      <c r="CK14" t="s">
        <v>69</v>
      </c>
      <c r="CL14" t="s">
        <v>69</v>
      </c>
      <c r="CM14">
        <v>76</v>
      </c>
      <c r="CN14" t="s">
        <v>73</v>
      </c>
      <c r="CO14" t="s">
        <v>69</v>
      </c>
      <c r="CP14" t="s">
        <v>71</v>
      </c>
      <c r="CQ14" t="s">
        <v>69</v>
      </c>
      <c r="CR14">
        <v>89.093999999999994</v>
      </c>
      <c r="CS14" t="s">
        <v>69</v>
      </c>
      <c r="CT14" t="s">
        <v>69</v>
      </c>
      <c r="CU14">
        <v>78</v>
      </c>
      <c r="CV14" t="s">
        <v>249</v>
      </c>
      <c r="CW14" t="s">
        <v>69</v>
      </c>
      <c r="CX14" t="s">
        <v>117</v>
      </c>
      <c r="CY14" t="s">
        <v>69</v>
      </c>
      <c r="CZ14">
        <v>121.154</v>
      </c>
      <c r="DA14" t="s">
        <v>69</v>
      </c>
      <c r="DB14" t="s">
        <v>69</v>
      </c>
      <c r="DC14">
        <v>79</v>
      </c>
      <c r="DD14" t="s">
        <v>153</v>
      </c>
      <c r="DE14" t="s">
        <v>69</v>
      </c>
      <c r="DF14" t="s">
        <v>148</v>
      </c>
      <c r="DG14" t="s">
        <v>69</v>
      </c>
      <c r="DH14">
        <v>132.119</v>
      </c>
      <c r="DI14" t="s">
        <v>69</v>
      </c>
      <c r="DJ14" t="s">
        <v>69</v>
      </c>
      <c r="DK14">
        <v>92</v>
      </c>
      <c r="DL14" t="s">
        <v>119</v>
      </c>
      <c r="DM14" t="s">
        <v>69</v>
      </c>
      <c r="DN14" t="s">
        <v>120</v>
      </c>
      <c r="DO14" t="s">
        <v>69</v>
      </c>
      <c r="DP14">
        <v>147.131</v>
      </c>
      <c r="DQ14" t="s">
        <v>69</v>
      </c>
      <c r="DR14" t="s">
        <v>69</v>
      </c>
      <c r="DS14">
        <v>93</v>
      </c>
      <c r="DT14" t="s">
        <v>76</v>
      </c>
      <c r="DU14" t="s">
        <v>69</v>
      </c>
      <c r="DV14" t="s">
        <v>75</v>
      </c>
      <c r="DW14" t="s">
        <v>69</v>
      </c>
      <c r="DX14">
        <v>146.18899999999999</v>
      </c>
      <c r="DY14" t="s">
        <v>69</v>
      </c>
      <c r="DZ14" t="s">
        <v>69</v>
      </c>
      <c r="EA14">
        <v>98</v>
      </c>
      <c r="EB14" t="s">
        <v>119</v>
      </c>
      <c r="EC14" t="s">
        <v>153</v>
      </c>
      <c r="ED14" t="s">
        <v>120</v>
      </c>
      <c r="EE14" t="s">
        <v>153</v>
      </c>
      <c r="EF14">
        <v>147.131</v>
      </c>
      <c r="EG14" t="s">
        <v>69</v>
      </c>
      <c r="EH14" t="s">
        <v>69</v>
      </c>
      <c r="EI14">
        <v>99</v>
      </c>
      <c r="EJ14" t="s">
        <v>250</v>
      </c>
      <c r="EK14" t="s">
        <v>153</v>
      </c>
      <c r="EL14" t="s">
        <v>152</v>
      </c>
      <c r="EM14" t="s">
        <v>153</v>
      </c>
      <c r="EN14">
        <v>204.22800000000001</v>
      </c>
      <c r="EO14" t="s">
        <v>153</v>
      </c>
      <c r="EP14" t="s">
        <v>153</v>
      </c>
      <c r="EQ14">
        <v>100</v>
      </c>
      <c r="ER14" t="s">
        <v>72</v>
      </c>
      <c r="ES14" t="s">
        <v>153</v>
      </c>
      <c r="ET14" t="s">
        <v>71</v>
      </c>
      <c r="EU14" t="s">
        <v>153</v>
      </c>
      <c r="EV14">
        <v>131.17500000000001</v>
      </c>
      <c r="EW14" t="s">
        <v>69</v>
      </c>
      <c r="EX14" t="s">
        <v>69</v>
      </c>
      <c r="EY14">
        <v>102</v>
      </c>
      <c r="EZ14" t="s">
        <v>76</v>
      </c>
      <c r="FA14" t="s">
        <v>69</v>
      </c>
      <c r="FB14" t="s">
        <v>75</v>
      </c>
      <c r="FC14" t="s">
        <v>69</v>
      </c>
      <c r="FD14">
        <v>146.18899999999999</v>
      </c>
      <c r="FE14" t="s">
        <v>69</v>
      </c>
      <c r="FF14" t="s">
        <v>69</v>
      </c>
      <c r="FG14">
        <v>103</v>
      </c>
      <c r="FH14" t="s">
        <v>74</v>
      </c>
      <c r="FI14" t="s">
        <v>153</v>
      </c>
      <c r="FJ14" t="s">
        <v>75</v>
      </c>
      <c r="FK14" t="s">
        <v>153</v>
      </c>
      <c r="FL14">
        <v>174.203</v>
      </c>
      <c r="FM14" t="s">
        <v>153</v>
      </c>
      <c r="FN14" t="s">
        <v>153</v>
      </c>
      <c r="FO14">
        <v>107</v>
      </c>
      <c r="FP14" t="s">
        <v>74</v>
      </c>
      <c r="FQ14" t="s">
        <v>153</v>
      </c>
      <c r="FR14" t="s">
        <v>75</v>
      </c>
      <c r="FS14" t="s">
        <v>153</v>
      </c>
      <c r="FT14">
        <v>174.203</v>
      </c>
      <c r="FU14" t="s">
        <v>69</v>
      </c>
      <c r="FV14" t="s">
        <v>69</v>
      </c>
    </row>
    <row r="15" spans="1:178" x14ac:dyDescent="0.25">
      <c r="A15">
        <v>7</v>
      </c>
      <c r="B15" t="str">
        <f>HYPERLINK("http://www.ncbi.nlm.nih.gov/protein/XP_038284167.1","XP_038284167.1")</f>
        <v>XP_038284167.1</v>
      </c>
      <c r="C15">
        <v>136357</v>
      </c>
      <c r="D15" t="str">
        <f>HYPERLINK("http://www.ncbi.nlm.nih.gov/Taxonomy/Browser/wwwtax.cgi?mode=Info&amp;id=9615&amp;lvl=3&amp;lin=f&amp;keep=1&amp;srchmode=1&amp;unlock","9615")</f>
        <v>9615</v>
      </c>
      <c r="E15" t="s">
        <v>66</v>
      </c>
      <c r="F15" t="str">
        <f>HYPERLINK("http://www.ncbi.nlm.nih.gov/Taxonomy/Browser/wwwtax.cgi?mode=Info&amp;id=9615&amp;lvl=3&amp;lin=f&amp;keep=1&amp;srchmode=1&amp;unlock","Canis lupus familiaris")</f>
        <v>Canis lupus familiaris</v>
      </c>
      <c r="G15" t="s">
        <v>84</v>
      </c>
      <c r="H15" t="str">
        <f>HYPERLINK("http://www.ncbi.nlm.nih.gov/protein/XP_038284167.1","bone marrow stromal antigen 2")</f>
        <v>bone marrow stromal antigen 2</v>
      </c>
      <c r="I15" t="s">
        <v>248</v>
      </c>
      <c r="J15" t="s">
        <v>153</v>
      </c>
      <c r="K15">
        <v>55</v>
      </c>
      <c r="L15" t="s">
        <v>149</v>
      </c>
      <c r="M15" t="s">
        <v>153</v>
      </c>
      <c r="N15" t="s">
        <v>150</v>
      </c>
      <c r="O15" t="s">
        <v>153</v>
      </c>
      <c r="P15">
        <v>119.119</v>
      </c>
      <c r="Q15" t="s">
        <v>153</v>
      </c>
      <c r="R15" t="s">
        <v>153</v>
      </c>
      <c r="S15">
        <v>56</v>
      </c>
      <c r="T15" t="s">
        <v>153</v>
      </c>
      <c r="U15" t="s">
        <v>69</v>
      </c>
      <c r="V15" t="s">
        <v>148</v>
      </c>
      <c r="W15" t="s">
        <v>69</v>
      </c>
      <c r="X15">
        <v>132.119</v>
      </c>
      <c r="Y15" t="s">
        <v>69</v>
      </c>
      <c r="Z15" t="s">
        <v>69</v>
      </c>
      <c r="AA15">
        <v>57</v>
      </c>
      <c r="AB15" t="s">
        <v>155</v>
      </c>
      <c r="AC15" t="s">
        <v>69</v>
      </c>
      <c r="AD15" t="s">
        <v>150</v>
      </c>
      <c r="AE15" t="s">
        <v>69</v>
      </c>
      <c r="AF15">
        <v>105.093</v>
      </c>
      <c r="AG15" t="s">
        <v>69</v>
      </c>
      <c r="AH15" t="s">
        <v>69</v>
      </c>
      <c r="AI15">
        <v>58</v>
      </c>
      <c r="AJ15" t="s">
        <v>76</v>
      </c>
      <c r="AK15" t="s">
        <v>153</v>
      </c>
      <c r="AL15" t="s">
        <v>75</v>
      </c>
      <c r="AM15" t="s">
        <v>153</v>
      </c>
      <c r="AN15">
        <v>146.18899999999999</v>
      </c>
      <c r="AO15" t="s">
        <v>69</v>
      </c>
      <c r="AP15" t="s">
        <v>69</v>
      </c>
      <c r="AQ15">
        <v>59</v>
      </c>
      <c r="AR15" t="s">
        <v>73</v>
      </c>
      <c r="AS15" t="s">
        <v>69</v>
      </c>
      <c r="AT15" t="s">
        <v>71</v>
      </c>
      <c r="AU15" t="s">
        <v>69</v>
      </c>
      <c r="AV15">
        <v>89.093999999999994</v>
      </c>
      <c r="AW15" t="s">
        <v>69</v>
      </c>
      <c r="AX15" t="s">
        <v>69</v>
      </c>
      <c r="AY15">
        <v>60</v>
      </c>
      <c r="AZ15" t="s">
        <v>249</v>
      </c>
      <c r="BA15" t="s">
        <v>69</v>
      </c>
      <c r="BB15" t="s">
        <v>117</v>
      </c>
      <c r="BC15" t="s">
        <v>69</v>
      </c>
      <c r="BD15">
        <v>121.154</v>
      </c>
      <c r="BE15" t="s">
        <v>69</v>
      </c>
      <c r="BF15" t="s">
        <v>69</v>
      </c>
      <c r="BG15">
        <v>91</v>
      </c>
      <c r="BH15" t="s">
        <v>149</v>
      </c>
      <c r="BI15" t="s">
        <v>153</v>
      </c>
      <c r="BJ15" t="s">
        <v>150</v>
      </c>
      <c r="BK15" t="s">
        <v>153</v>
      </c>
      <c r="BL15">
        <v>119.119</v>
      </c>
      <c r="BM15" t="s">
        <v>69</v>
      </c>
      <c r="BN15" t="s">
        <v>69</v>
      </c>
      <c r="BO15">
        <v>92</v>
      </c>
      <c r="BP15" t="s">
        <v>116</v>
      </c>
      <c r="BQ15" t="s">
        <v>153</v>
      </c>
      <c r="BR15" t="s">
        <v>117</v>
      </c>
      <c r="BS15" t="s">
        <v>153</v>
      </c>
      <c r="BT15">
        <v>149.208</v>
      </c>
      <c r="BU15" t="s">
        <v>69</v>
      </c>
      <c r="BV15" t="s">
        <v>69</v>
      </c>
      <c r="BW15">
        <v>94</v>
      </c>
      <c r="BX15" t="s">
        <v>147</v>
      </c>
      <c r="BY15" t="s">
        <v>69</v>
      </c>
      <c r="BZ15" t="s">
        <v>148</v>
      </c>
      <c r="CA15" t="s">
        <v>69</v>
      </c>
      <c r="CB15">
        <v>146.14599999999999</v>
      </c>
      <c r="CC15" t="s">
        <v>69</v>
      </c>
      <c r="CD15" t="s">
        <v>69</v>
      </c>
      <c r="CE15">
        <v>95</v>
      </c>
      <c r="CF15" t="s">
        <v>73</v>
      </c>
      <c r="CG15" t="s">
        <v>69</v>
      </c>
      <c r="CH15" t="s">
        <v>71</v>
      </c>
      <c r="CI15" t="s">
        <v>69</v>
      </c>
      <c r="CJ15">
        <v>89.093999999999994</v>
      </c>
      <c r="CK15" t="s">
        <v>69</v>
      </c>
      <c r="CL15" t="s">
        <v>69</v>
      </c>
      <c r="CM15">
        <v>96</v>
      </c>
      <c r="CN15" t="s">
        <v>149</v>
      </c>
      <c r="CO15" t="s">
        <v>153</v>
      </c>
      <c r="CP15" t="s">
        <v>150</v>
      </c>
      <c r="CQ15" t="s">
        <v>153</v>
      </c>
      <c r="CR15">
        <v>119.119</v>
      </c>
      <c r="CS15" t="s">
        <v>153</v>
      </c>
      <c r="CT15" t="s">
        <v>153</v>
      </c>
      <c r="CU15">
        <v>98</v>
      </c>
      <c r="CV15" t="s">
        <v>249</v>
      </c>
      <c r="CW15" t="s">
        <v>69</v>
      </c>
      <c r="CX15" t="s">
        <v>117</v>
      </c>
      <c r="CY15" t="s">
        <v>69</v>
      </c>
      <c r="CZ15">
        <v>121.154</v>
      </c>
      <c r="DA15" t="s">
        <v>69</v>
      </c>
      <c r="DB15" t="s">
        <v>69</v>
      </c>
      <c r="DC15">
        <v>99</v>
      </c>
      <c r="DD15" t="s">
        <v>153</v>
      </c>
      <c r="DE15" t="s">
        <v>69</v>
      </c>
      <c r="DF15" t="s">
        <v>148</v>
      </c>
      <c r="DG15" t="s">
        <v>69</v>
      </c>
      <c r="DH15">
        <v>132.119</v>
      </c>
      <c r="DI15" t="s">
        <v>69</v>
      </c>
      <c r="DJ15" t="s">
        <v>69</v>
      </c>
      <c r="DK15">
        <v>112</v>
      </c>
      <c r="DL15" t="s">
        <v>119</v>
      </c>
      <c r="DM15" t="s">
        <v>69</v>
      </c>
      <c r="DN15" t="s">
        <v>120</v>
      </c>
      <c r="DO15" t="s">
        <v>69</v>
      </c>
      <c r="DP15">
        <v>147.131</v>
      </c>
      <c r="DQ15" t="s">
        <v>69</v>
      </c>
      <c r="DR15" t="s">
        <v>69</v>
      </c>
      <c r="DS15">
        <v>113</v>
      </c>
      <c r="DT15" t="s">
        <v>76</v>
      </c>
      <c r="DU15" t="s">
        <v>69</v>
      </c>
      <c r="DV15" t="s">
        <v>75</v>
      </c>
      <c r="DW15" t="s">
        <v>69</v>
      </c>
      <c r="DX15">
        <v>146.18899999999999</v>
      </c>
      <c r="DY15" t="s">
        <v>69</v>
      </c>
      <c r="DZ15" t="s">
        <v>69</v>
      </c>
      <c r="EA15">
        <v>118</v>
      </c>
      <c r="EB15" t="s">
        <v>119</v>
      </c>
      <c r="EC15" t="s">
        <v>153</v>
      </c>
      <c r="ED15" t="s">
        <v>120</v>
      </c>
      <c r="EE15" t="s">
        <v>153</v>
      </c>
      <c r="EF15">
        <v>147.131</v>
      </c>
      <c r="EG15" t="s">
        <v>69</v>
      </c>
      <c r="EH15" t="s">
        <v>69</v>
      </c>
      <c r="EI15">
        <v>119</v>
      </c>
      <c r="EJ15" t="s">
        <v>147</v>
      </c>
      <c r="EK15" t="s">
        <v>153</v>
      </c>
      <c r="EL15" t="s">
        <v>148</v>
      </c>
      <c r="EM15" t="s">
        <v>153</v>
      </c>
      <c r="EN15">
        <v>146.14599999999999</v>
      </c>
      <c r="EO15" t="s">
        <v>153</v>
      </c>
      <c r="EP15" t="s">
        <v>153</v>
      </c>
      <c r="EQ15">
        <v>120</v>
      </c>
      <c r="ER15" t="s">
        <v>72</v>
      </c>
      <c r="ES15" t="s">
        <v>153</v>
      </c>
      <c r="ET15" t="s">
        <v>71</v>
      </c>
      <c r="EU15" t="s">
        <v>153</v>
      </c>
      <c r="EV15">
        <v>131.17500000000001</v>
      </c>
      <c r="EW15" t="s">
        <v>69</v>
      </c>
      <c r="EX15" t="s">
        <v>69</v>
      </c>
      <c r="EY15">
        <v>122</v>
      </c>
      <c r="EZ15" t="s">
        <v>74</v>
      </c>
      <c r="FA15" t="s">
        <v>153</v>
      </c>
      <c r="FB15" t="s">
        <v>75</v>
      </c>
      <c r="FC15" t="s">
        <v>69</v>
      </c>
      <c r="FD15">
        <v>174.203</v>
      </c>
      <c r="FE15" t="s">
        <v>69</v>
      </c>
      <c r="FF15" t="s">
        <v>69</v>
      </c>
      <c r="FG15">
        <v>123</v>
      </c>
      <c r="FH15" t="s">
        <v>70</v>
      </c>
      <c r="FI15" t="s">
        <v>153</v>
      </c>
      <c r="FJ15" t="s">
        <v>71</v>
      </c>
      <c r="FK15" t="s">
        <v>69</v>
      </c>
      <c r="FL15">
        <v>75.066999999999993</v>
      </c>
      <c r="FM15" t="s">
        <v>153</v>
      </c>
      <c r="FN15" t="s">
        <v>69</v>
      </c>
      <c r="FO15">
        <v>127</v>
      </c>
      <c r="FP15" t="s">
        <v>147</v>
      </c>
      <c r="FQ15" t="s">
        <v>153</v>
      </c>
      <c r="FR15" t="s">
        <v>148</v>
      </c>
      <c r="FS15" t="s">
        <v>153</v>
      </c>
      <c r="FT15">
        <v>146.14599999999999</v>
      </c>
      <c r="FU15" t="s">
        <v>69</v>
      </c>
      <c r="FV15" t="s">
        <v>69</v>
      </c>
    </row>
    <row r="16" spans="1:178" x14ac:dyDescent="0.25">
      <c r="A16">
        <v>7</v>
      </c>
      <c r="B16" t="str">
        <f>HYPERLINK("http://www.ncbi.nlm.nih.gov/protein/XP_020736362.1","XP_020736362.1")</f>
        <v>XP_020736362.1</v>
      </c>
      <c r="C16">
        <v>48218</v>
      </c>
      <c r="D16" t="str">
        <f>HYPERLINK("http://www.ncbi.nlm.nih.gov/Taxonomy/Browser/wwwtax.cgi?mode=Info&amp;id=9880&amp;lvl=3&amp;lin=f&amp;keep=1&amp;srchmode=1&amp;unlock","9880")</f>
        <v>9880</v>
      </c>
      <c r="E16" t="s">
        <v>66</v>
      </c>
      <c r="F16" t="str">
        <f>HYPERLINK("http://www.ncbi.nlm.nih.gov/Taxonomy/Browser/wwwtax.cgi?mode=Info&amp;id=9880&amp;lvl=3&amp;lin=f&amp;keep=1&amp;srchmode=1&amp;unlock","Odocoileus virginianus texanus")</f>
        <v>Odocoileus virginianus texanus</v>
      </c>
      <c r="G16" s="1" t="s">
        <v>81</v>
      </c>
      <c r="H16" s="1" t="str">
        <f>HYPERLINK("http://www.ncbi.nlm.nih.gov/protein/XP_020736362.1","bone marrow stromal antigen 2 isoform X4")</f>
        <v>bone marrow stromal antigen 2 isoform X4</v>
      </c>
      <c r="I16" t="s">
        <v>248</v>
      </c>
      <c r="J16" t="s">
        <v>153</v>
      </c>
      <c r="K16">
        <v>53</v>
      </c>
      <c r="L16" t="s">
        <v>73</v>
      </c>
      <c r="M16" t="s">
        <v>69</v>
      </c>
      <c r="N16" t="s">
        <v>71</v>
      </c>
      <c r="O16" t="s">
        <v>69</v>
      </c>
      <c r="P16">
        <v>89.093999999999994</v>
      </c>
      <c r="Q16" t="s">
        <v>69</v>
      </c>
      <c r="R16" t="s">
        <v>69</v>
      </c>
      <c r="S16">
        <v>54</v>
      </c>
      <c r="T16" t="s">
        <v>153</v>
      </c>
      <c r="U16" t="s">
        <v>69</v>
      </c>
      <c r="V16" t="s">
        <v>148</v>
      </c>
      <c r="W16" t="s">
        <v>69</v>
      </c>
      <c r="X16">
        <v>132.119</v>
      </c>
      <c r="Y16" t="s">
        <v>69</v>
      </c>
      <c r="Z16" t="s">
        <v>69</v>
      </c>
      <c r="AA16">
        <v>55</v>
      </c>
      <c r="AB16" t="s">
        <v>155</v>
      </c>
      <c r="AC16" t="s">
        <v>69</v>
      </c>
      <c r="AD16" t="s">
        <v>150</v>
      </c>
      <c r="AE16" t="s">
        <v>69</v>
      </c>
      <c r="AF16">
        <v>105.093</v>
      </c>
      <c r="AG16" t="s">
        <v>69</v>
      </c>
      <c r="AH16" t="s">
        <v>69</v>
      </c>
      <c r="AI16">
        <v>56</v>
      </c>
      <c r="AJ16" t="s">
        <v>119</v>
      </c>
      <c r="AK16" t="s">
        <v>69</v>
      </c>
      <c r="AL16" t="s">
        <v>120</v>
      </c>
      <c r="AM16" t="s">
        <v>69</v>
      </c>
      <c r="AN16">
        <v>147.131</v>
      </c>
      <c r="AO16" t="s">
        <v>69</v>
      </c>
      <c r="AP16" t="s">
        <v>69</v>
      </c>
      <c r="AQ16">
        <v>57</v>
      </c>
      <c r="AR16" t="s">
        <v>73</v>
      </c>
      <c r="AS16" t="s">
        <v>69</v>
      </c>
      <c r="AT16" t="s">
        <v>71</v>
      </c>
      <c r="AU16" t="s">
        <v>69</v>
      </c>
      <c r="AV16">
        <v>89.093999999999994</v>
      </c>
      <c r="AW16" t="s">
        <v>69</v>
      </c>
      <c r="AX16" t="s">
        <v>69</v>
      </c>
      <c r="AY16">
        <v>58</v>
      </c>
      <c r="AZ16" t="s">
        <v>249</v>
      </c>
      <c r="BA16" t="s">
        <v>69</v>
      </c>
      <c r="BB16" t="s">
        <v>117</v>
      </c>
      <c r="BC16" t="s">
        <v>69</v>
      </c>
      <c r="BD16">
        <v>121.154</v>
      </c>
      <c r="BE16" t="s">
        <v>69</v>
      </c>
      <c r="BF16" t="s">
        <v>69</v>
      </c>
      <c r="BG16">
        <v>89</v>
      </c>
      <c r="BH16" t="s">
        <v>76</v>
      </c>
      <c r="BI16" t="s">
        <v>153</v>
      </c>
      <c r="BJ16" t="s">
        <v>75</v>
      </c>
      <c r="BK16" t="s">
        <v>153</v>
      </c>
      <c r="BL16">
        <v>146.18899999999999</v>
      </c>
      <c r="BM16" t="s">
        <v>69</v>
      </c>
      <c r="BN16" t="s">
        <v>69</v>
      </c>
      <c r="BO16">
        <v>90</v>
      </c>
      <c r="BP16" t="s">
        <v>119</v>
      </c>
      <c r="BQ16" t="s">
        <v>69</v>
      </c>
      <c r="BR16" t="s">
        <v>120</v>
      </c>
      <c r="BS16" t="s">
        <v>69</v>
      </c>
      <c r="BT16">
        <v>147.131</v>
      </c>
      <c r="BU16" t="s">
        <v>69</v>
      </c>
      <c r="BV16" t="s">
        <v>69</v>
      </c>
      <c r="BW16">
        <v>92</v>
      </c>
      <c r="BX16" t="s">
        <v>119</v>
      </c>
      <c r="BY16" t="s">
        <v>153</v>
      </c>
      <c r="BZ16" t="s">
        <v>120</v>
      </c>
      <c r="CA16" t="s">
        <v>153</v>
      </c>
      <c r="CB16">
        <v>147.131</v>
      </c>
      <c r="CC16" t="s">
        <v>69</v>
      </c>
      <c r="CD16" t="s">
        <v>69</v>
      </c>
      <c r="CE16">
        <v>93</v>
      </c>
      <c r="CF16" t="s">
        <v>73</v>
      </c>
      <c r="CG16" t="s">
        <v>69</v>
      </c>
      <c r="CH16" t="s">
        <v>71</v>
      </c>
      <c r="CI16" t="s">
        <v>69</v>
      </c>
      <c r="CJ16">
        <v>89.093999999999994</v>
      </c>
      <c r="CK16" t="s">
        <v>69</v>
      </c>
      <c r="CL16" t="s">
        <v>69</v>
      </c>
      <c r="CM16">
        <v>94</v>
      </c>
      <c r="CN16" t="s">
        <v>73</v>
      </c>
      <c r="CO16" t="s">
        <v>69</v>
      </c>
      <c r="CP16" t="s">
        <v>71</v>
      </c>
      <c r="CQ16" t="s">
        <v>69</v>
      </c>
      <c r="CR16">
        <v>89.093999999999994</v>
      </c>
      <c r="CS16" t="s">
        <v>69</v>
      </c>
      <c r="CT16" t="s">
        <v>69</v>
      </c>
      <c r="CU16">
        <v>96</v>
      </c>
      <c r="CV16" t="s">
        <v>249</v>
      </c>
      <c r="CW16" t="s">
        <v>69</v>
      </c>
      <c r="CX16" t="s">
        <v>117</v>
      </c>
      <c r="CY16" t="s">
        <v>69</v>
      </c>
      <c r="CZ16">
        <v>121.154</v>
      </c>
      <c r="DA16" t="s">
        <v>69</v>
      </c>
      <c r="DB16" t="s">
        <v>69</v>
      </c>
      <c r="DC16">
        <v>97</v>
      </c>
      <c r="DD16" t="s">
        <v>153</v>
      </c>
      <c r="DE16" t="s">
        <v>69</v>
      </c>
      <c r="DF16" t="s">
        <v>148</v>
      </c>
      <c r="DG16" t="s">
        <v>69</v>
      </c>
      <c r="DH16">
        <v>132.119</v>
      </c>
      <c r="DI16" t="s">
        <v>69</v>
      </c>
      <c r="DJ16" t="s">
        <v>69</v>
      </c>
      <c r="DK16">
        <v>110</v>
      </c>
      <c r="DL16" t="s">
        <v>119</v>
      </c>
      <c r="DM16" t="s">
        <v>69</v>
      </c>
      <c r="DN16" t="s">
        <v>120</v>
      </c>
      <c r="DO16" t="s">
        <v>69</v>
      </c>
      <c r="DP16">
        <v>147.131</v>
      </c>
      <c r="DQ16" t="s">
        <v>69</v>
      </c>
      <c r="DR16" t="s">
        <v>69</v>
      </c>
      <c r="DS16">
        <v>111</v>
      </c>
      <c r="DT16" t="s">
        <v>147</v>
      </c>
      <c r="DU16" t="s">
        <v>153</v>
      </c>
      <c r="DV16" t="s">
        <v>148</v>
      </c>
      <c r="DW16" t="s">
        <v>153</v>
      </c>
      <c r="DX16">
        <v>146.14599999999999</v>
      </c>
      <c r="DY16" t="s">
        <v>69</v>
      </c>
      <c r="DZ16" t="s">
        <v>69</v>
      </c>
      <c r="EA16" t="s">
        <v>159</v>
      </c>
      <c r="EB16" t="s">
        <v>159</v>
      </c>
      <c r="EC16" t="s">
        <v>153</v>
      </c>
      <c r="ED16" t="s">
        <v>159</v>
      </c>
      <c r="EE16" t="s">
        <v>153</v>
      </c>
      <c r="EF16" t="s">
        <v>159</v>
      </c>
      <c r="EG16" t="s">
        <v>153</v>
      </c>
      <c r="EH16" t="s">
        <v>153</v>
      </c>
      <c r="EI16" t="s">
        <v>159</v>
      </c>
      <c r="EJ16" t="s">
        <v>159</v>
      </c>
      <c r="EK16" t="s">
        <v>153</v>
      </c>
      <c r="EL16" t="s">
        <v>159</v>
      </c>
      <c r="EM16" t="s">
        <v>153</v>
      </c>
      <c r="EN16" t="s">
        <v>159</v>
      </c>
      <c r="EO16" t="s">
        <v>153</v>
      </c>
      <c r="EP16" t="s">
        <v>153</v>
      </c>
      <c r="EQ16" t="s">
        <v>159</v>
      </c>
      <c r="ER16" t="s">
        <v>159</v>
      </c>
      <c r="ES16" t="s">
        <v>153</v>
      </c>
      <c r="ET16" t="s">
        <v>159</v>
      </c>
      <c r="EU16" t="s">
        <v>153</v>
      </c>
      <c r="EV16" t="s">
        <v>159</v>
      </c>
      <c r="EW16" t="s">
        <v>153</v>
      </c>
      <c r="EX16" t="s">
        <v>153</v>
      </c>
      <c r="EY16">
        <v>113</v>
      </c>
      <c r="EZ16" t="s">
        <v>147</v>
      </c>
      <c r="FA16" t="s">
        <v>153</v>
      </c>
      <c r="FB16" t="s">
        <v>148</v>
      </c>
      <c r="FC16" t="s">
        <v>153</v>
      </c>
      <c r="FD16">
        <v>146.14599999999999</v>
      </c>
      <c r="FE16" t="s">
        <v>69</v>
      </c>
      <c r="FF16" t="s">
        <v>69</v>
      </c>
      <c r="FG16">
        <v>114</v>
      </c>
      <c r="FH16" t="s">
        <v>115</v>
      </c>
      <c r="FI16" t="s">
        <v>69</v>
      </c>
      <c r="FJ16" t="s">
        <v>71</v>
      </c>
      <c r="FK16" t="s">
        <v>69</v>
      </c>
      <c r="FL16">
        <v>117.148</v>
      </c>
      <c r="FM16" t="s">
        <v>69</v>
      </c>
      <c r="FN16" t="s">
        <v>69</v>
      </c>
      <c r="FO16">
        <v>118</v>
      </c>
      <c r="FP16" t="s">
        <v>147</v>
      </c>
      <c r="FQ16" t="s">
        <v>153</v>
      </c>
      <c r="FR16" t="s">
        <v>148</v>
      </c>
      <c r="FS16" t="s">
        <v>153</v>
      </c>
      <c r="FT16">
        <v>146.14599999999999</v>
      </c>
      <c r="FU16" t="s">
        <v>69</v>
      </c>
      <c r="FV16" t="s">
        <v>69</v>
      </c>
    </row>
    <row r="17" spans="1:178" x14ac:dyDescent="0.25">
      <c r="A17">
        <v>7</v>
      </c>
      <c r="B17" t="str">
        <f>HYPERLINK("http://www.ncbi.nlm.nih.gov/protein/XP_004761089.1","XP_004761089.1")</f>
        <v>XP_004761089.1</v>
      </c>
      <c r="C17">
        <v>58003</v>
      </c>
      <c r="D17" t="str">
        <f>HYPERLINK("http://www.ncbi.nlm.nih.gov/Taxonomy/Browser/wwwtax.cgi?mode=Info&amp;id=9669&amp;lvl=3&amp;lin=f&amp;keep=1&amp;srchmode=1&amp;unlock","9669")</f>
        <v>9669</v>
      </c>
      <c r="E17" t="s">
        <v>66</v>
      </c>
      <c r="F17" t="str">
        <f>HYPERLINK("http://www.ncbi.nlm.nih.gov/Taxonomy/Browser/wwwtax.cgi?mode=Info&amp;id=9669&amp;lvl=3&amp;lin=f&amp;keep=1&amp;srchmode=1&amp;unlock","Mustela putorius furo")</f>
        <v>Mustela putorius furo</v>
      </c>
      <c r="G17" t="s">
        <v>98</v>
      </c>
      <c r="H17" t="str">
        <f>HYPERLINK("http://www.ncbi.nlm.nih.gov/protein/XP_004761089.1","bone marrow stromal antigen 2 isoform X2")</f>
        <v>bone marrow stromal antigen 2 isoform X2</v>
      </c>
      <c r="I17" t="s">
        <v>248</v>
      </c>
      <c r="J17" t="s">
        <v>153</v>
      </c>
      <c r="K17">
        <v>53</v>
      </c>
      <c r="L17" t="s">
        <v>73</v>
      </c>
      <c r="M17" t="s">
        <v>69</v>
      </c>
      <c r="N17" t="s">
        <v>71</v>
      </c>
      <c r="O17" t="s">
        <v>69</v>
      </c>
      <c r="P17">
        <v>89.093999999999994</v>
      </c>
      <c r="Q17" t="s">
        <v>69</v>
      </c>
      <c r="R17" t="s">
        <v>69</v>
      </c>
      <c r="S17">
        <v>54</v>
      </c>
      <c r="T17" t="s">
        <v>153</v>
      </c>
      <c r="U17" t="s">
        <v>69</v>
      </c>
      <c r="V17" t="s">
        <v>148</v>
      </c>
      <c r="W17" t="s">
        <v>69</v>
      </c>
      <c r="X17">
        <v>132.119</v>
      </c>
      <c r="Y17" t="s">
        <v>69</v>
      </c>
      <c r="Z17" t="s">
        <v>69</v>
      </c>
      <c r="AA17">
        <v>55</v>
      </c>
      <c r="AB17" t="s">
        <v>155</v>
      </c>
      <c r="AC17" t="s">
        <v>69</v>
      </c>
      <c r="AD17" t="s">
        <v>150</v>
      </c>
      <c r="AE17" t="s">
        <v>69</v>
      </c>
      <c r="AF17">
        <v>105.093</v>
      </c>
      <c r="AG17" t="s">
        <v>69</v>
      </c>
      <c r="AH17" t="s">
        <v>69</v>
      </c>
      <c r="AI17">
        <v>56</v>
      </c>
      <c r="AJ17" t="s">
        <v>76</v>
      </c>
      <c r="AK17" t="s">
        <v>153</v>
      </c>
      <c r="AL17" t="s">
        <v>75</v>
      </c>
      <c r="AM17" t="s">
        <v>153</v>
      </c>
      <c r="AN17">
        <v>146.18899999999999</v>
      </c>
      <c r="AO17" t="s">
        <v>69</v>
      </c>
      <c r="AP17" t="s">
        <v>69</v>
      </c>
      <c r="AQ17">
        <v>57</v>
      </c>
      <c r="AR17" t="s">
        <v>73</v>
      </c>
      <c r="AS17" t="s">
        <v>69</v>
      </c>
      <c r="AT17" t="s">
        <v>71</v>
      </c>
      <c r="AU17" t="s">
        <v>69</v>
      </c>
      <c r="AV17">
        <v>89.093999999999994</v>
      </c>
      <c r="AW17" t="s">
        <v>69</v>
      </c>
      <c r="AX17" t="s">
        <v>69</v>
      </c>
      <c r="AY17">
        <v>58</v>
      </c>
      <c r="AZ17" t="s">
        <v>249</v>
      </c>
      <c r="BA17" t="s">
        <v>69</v>
      </c>
      <c r="BB17" t="s">
        <v>117</v>
      </c>
      <c r="BC17" t="s">
        <v>69</v>
      </c>
      <c r="BD17">
        <v>121.154</v>
      </c>
      <c r="BE17" t="s">
        <v>69</v>
      </c>
      <c r="BF17" t="s">
        <v>69</v>
      </c>
      <c r="BG17">
        <v>89</v>
      </c>
      <c r="BH17" t="s">
        <v>73</v>
      </c>
      <c r="BI17" t="s">
        <v>153</v>
      </c>
      <c r="BJ17" t="s">
        <v>71</v>
      </c>
      <c r="BK17" t="s">
        <v>69</v>
      </c>
      <c r="BL17">
        <v>89.093999999999994</v>
      </c>
      <c r="BM17" t="s">
        <v>69</v>
      </c>
      <c r="BN17" t="s">
        <v>69</v>
      </c>
      <c r="BO17">
        <v>90</v>
      </c>
      <c r="BP17" t="s">
        <v>76</v>
      </c>
      <c r="BQ17" t="s">
        <v>153</v>
      </c>
      <c r="BR17" t="s">
        <v>75</v>
      </c>
      <c r="BS17" t="s">
        <v>153</v>
      </c>
      <c r="BT17">
        <v>146.18899999999999</v>
      </c>
      <c r="BU17" t="s">
        <v>69</v>
      </c>
      <c r="BV17" t="s">
        <v>69</v>
      </c>
      <c r="BW17">
        <v>92</v>
      </c>
      <c r="BX17" t="s">
        <v>119</v>
      </c>
      <c r="BY17" t="s">
        <v>153</v>
      </c>
      <c r="BZ17" t="s">
        <v>120</v>
      </c>
      <c r="CA17" t="s">
        <v>153</v>
      </c>
      <c r="CB17">
        <v>147.131</v>
      </c>
      <c r="CC17" t="s">
        <v>69</v>
      </c>
      <c r="CD17" t="s">
        <v>69</v>
      </c>
      <c r="CE17">
        <v>93</v>
      </c>
      <c r="CF17" t="s">
        <v>73</v>
      </c>
      <c r="CG17" t="s">
        <v>69</v>
      </c>
      <c r="CH17" t="s">
        <v>71</v>
      </c>
      <c r="CI17" t="s">
        <v>69</v>
      </c>
      <c r="CJ17">
        <v>89.093999999999994</v>
      </c>
      <c r="CK17" t="s">
        <v>69</v>
      </c>
      <c r="CL17" t="s">
        <v>69</v>
      </c>
      <c r="CM17">
        <v>94</v>
      </c>
      <c r="CN17" t="s">
        <v>73</v>
      </c>
      <c r="CO17" t="s">
        <v>69</v>
      </c>
      <c r="CP17" t="s">
        <v>71</v>
      </c>
      <c r="CQ17" t="s">
        <v>69</v>
      </c>
      <c r="CR17">
        <v>89.093999999999994</v>
      </c>
      <c r="CS17" t="s">
        <v>69</v>
      </c>
      <c r="CT17" t="s">
        <v>69</v>
      </c>
      <c r="CU17">
        <v>96</v>
      </c>
      <c r="CV17" t="s">
        <v>249</v>
      </c>
      <c r="CW17" t="s">
        <v>69</v>
      </c>
      <c r="CX17" t="s">
        <v>117</v>
      </c>
      <c r="CY17" t="s">
        <v>69</v>
      </c>
      <c r="CZ17">
        <v>121.154</v>
      </c>
      <c r="DA17" t="s">
        <v>69</v>
      </c>
      <c r="DB17" t="s">
        <v>69</v>
      </c>
      <c r="DC17">
        <v>97</v>
      </c>
      <c r="DD17" t="s">
        <v>153</v>
      </c>
      <c r="DE17" t="s">
        <v>69</v>
      </c>
      <c r="DF17" t="s">
        <v>148</v>
      </c>
      <c r="DG17" t="s">
        <v>69</v>
      </c>
      <c r="DH17">
        <v>132.119</v>
      </c>
      <c r="DI17" t="s">
        <v>69</v>
      </c>
      <c r="DJ17" t="s">
        <v>69</v>
      </c>
      <c r="DK17">
        <v>110</v>
      </c>
      <c r="DL17" t="s">
        <v>119</v>
      </c>
      <c r="DM17" t="s">
        <v>69</v>
      </c>
      <c r="DN17" t="s">
        <v>120</v>
      </c>
      <c r="DO17" t="s">
        <v>69</v>
      </c>
      <c r="DP17">
        <v>147.131</v>
      </c>
      <c r="DQ17" t="s">
        <v>69</v>
      </c>
      <c r="DR17" t="s">
        <v>69</v>
      </c>
      <c r="DS17">
        <v>111</v>
      </c>
      <c r="DT17" t="s">
        <v>76</v>
      </c>
      <c r="DU17" t="s">
        <v>69</v>
      </c>
      <c r="DV17" t="s">
        <v>75</v>
      </c>
      <c r="DW17" t="s">
        <v>69</v>
      </c>
      <c r="DX17">
        <v>146.18899999999999</v>
      </c>
      <c r="DY17" t="s">
        <v>69</v>
      </c>
      <c r="DZ17" t="s">
        <v>69</v>
      </c>
      <c r="EA17">
        <v>116</v>
      </c>
      <c r="EB17" t="s">
        <v>119</v>
      </c>
      <c r="EC17" t="s">
        <v>153</v>
      </c>
      <c r="ED17" t="s">
        <v>120</v>
      </c>
      <c r="EE17" t="s">
        <v>153</v>
      </c>
      <c r="EF17">
        <v>147.131</v>
      </c>
      <c r="EG17" t="s">
        <v>69</v>
      </c>
      <c r="EH17" t="s">
        <v>69</v>
      </c>
      <c r="EI17">
        <v>117</v>
      </c>
      <c r="EJ17" t="s">
        <v>147</v>
      </c>
      <c r="EK17" t="s">
        <v>153</v>
      </c>
      <c r="EL17" t="s">
        <v>148</v>
      </c>
      <c r="EM17" t="s">
        <v>153</v>
      </c>
      <c r="EN17">
        <v>146.14599999999999</v>
      </c>
      <c r="EO17" t="s">
        <v>153</v>
      </c>
      <c r="EP17" t="s">
        <v>153</v>
      </c>
      <c r="EQ17">
        <v>118</v>
      </c>
      <c r="ER17" t="s">
        <v>72</v>
      </c>
      <c r="ES17" t="s">
        <v>153</v>
      </c>
      <c r="ET17" t="s">
        <v>71</v>
      </c>
      <c r="EU17" t="s">
        <v>153</v>
      </c>
      <c r="EV17">
        <v>131.17500000000001</v>
      </c>
      <c r="EW17" t="s">
        <v>69</v>
      </c>
      <c r="EX17" t="s">
        <v>69</v>
      </c>
      <c r="EY17">
        <v>120</v>
      </c>
      <c r="EZ17" t="s">
        <v>70</v>
      </c>
      <c r="FA17" t="s">
        <v>153</v>
      </c>
      <c r="FB17" t="s">
        <v>71</v>
      </c>
      <c r="FC17" t="s">
        <v>153</v>
      </c>
      <c r="FD17">
        <v>75.066999999999993</v>
      </c>
      <c r="FE17" t="s">
        <v>153</v>
      </c>
      <c r="FF17" t="s">
        <v>153</v>
      </c>
      <c r="FG17">
        <v>121</v>
      </c>
      <c r="FH17" t="s">
        <v>74</v>
      </c>
      <c r="FI17" t="s">
        <v>153</v>
      </c>
      <c r="FJ17" t="s">
        <v>75</v>
      </c>
      <c r="FK17" t="s">
        <v>153</v>
      </c>
      <c r="FL17">
        <v>174.203</v>
      </c>
      <c r="FM17" t="s">
        <v>153</v>
      </c>
      <c r="FN17" t="s">
        <v>153</v>
      </c>
      <c r="FO17">
        <v>125</v>
      </c>
      <c r="FP17" t="s">
        <v>147</v>
      </c>
      <c r="FQ17" t="s">
        <v>153</v>
      </c>
      <c r="FR17" t="s">
        <v>148</v>
      </c>
      <c r="FS17" t="s">
        <v>153</v>
      </c>
      <c r="FT17">
        <v>146.14599999999999</v>
      </c>
      <c r="FU17" t="s">
        <v>69</v>
      </c>
      <c r="FV17" t="s">
        <v>69</v>
      </c>
    </row>
    <row r="18" spans="1:178" x14ac:dyDescent="0.25">
      <c r="A18">
        <v>7</v>
      </c>
      <c r="B18" t="str">
        <f>HYPERLINK("http://www.ncbi.nlm.nih.gov/protein/ELW67179.1","ELW67179.1")</f>
        <v>ELW67179.1</v>
      </c>
      <c r="C18">
        <v>59507</v>
      </c>
      <c r="D18" t="str">
        <f>HYPERLINK("http://www.ncbi.nlm.nih.gov/Taxonomy/Browser/wwwtax.cgi?mode=Info&amp;id=246437&amp;lvl=3&amp;lin=f&amp;keep=1&amp;srchmode=1&amp;unlock","246437")</f>
        <v>246437</v>
      </c>
      <c r="E18" t="s">
        <v>66</v>
      </c>
      <c r="F18" t="str">
        <f>HYPERLINK("http://www.ncbi.nlm.nih.gov/Taxonomy/Browser/wwwtax.cgi?mode=Info&amp;id=246437&amp;lvl=3&amp;lin=f&amp;keep=1&amp;srchmode=1&amp;unlock","Tupaia chinensis")</f>
        <v>Tupaia chinensis</v>
      </c>
      <c r="G18" t="s">
        <v>97</v>
      </c>
      <c r="H18" t="str">
        <f>HYPERLINK("http://www.ncbi.nlm.nih.gov/protein/ELW67179.1","Bone marrow stromal antigen 2")</f>
        <v>Bone marrow stromal antigen 2</v>
      </c>
      <c r="I18" t="s">
        <v>248</v>
      </c>
      <c r="J18" t="s">
        <v>153</v>
      </c>
      <c r="K18">
        <v>53</v>
      </c>
      <c r="L18" t="s">
        <v>73</v>
      </c>
      <c r="M18" t="s">
        <v>69</v>
      </c>
      <c r="N18" t="s">
        <v>71</v>
      </c>
      <c r="O18" t="s">
        <v>69</v>
      </c>
      <c r="P18">
        <v>89.093999999999994</v>
      </c>
      <c r="Q18" t="s">
        <v>69</v>
      </c>
      <c r="R18" t="s">
        <v>69</v>
      </c>
      <c r="S18">
        <v>54</v>
      </c>
      <c r="T18" t="s">
        <v>153</v>
      </c>
      <c r="U18" t="s">
        <v>69</v>
      </c>
      <c r="V18" t="s">
        <v>148</v>
      </c>
      <c r="W18" t="s">
        <v>69</v>
      </c>
      <c r="X18">
        <v>132.119</v>
      </c>
      <c r="Y18" t="s">
        <v>69</v>
      </c>
      <c r="Z18" t="s">
        <v>69</v>
      </c>
      <c r="AA18">
        <v>55</v>
      </c>
      <c r="AB18" t="s">
        <v>155</v>
      </c>
      <c r="AC18" t="s">
        <v>69</v>
      </c>
      <c r="AD18" t="s">
        <v>150</v>
      </c>
      <c r="AE18" t="s">
        <v>69</v>
      </c>
      <c r="AF18">
        <v>105.093</v>
      </c>
      <c r="AG18" t="s">
        <v>69</v>
      </c>
      <c r="AH18" t="s">
        <v>69</v>
      </c>
      <c r="AI18">
        <v>56</v>
      </c>
      <c r="AJ18" t="s">
        <v>119</v>
      </c>
      <c r="AK18" t="s">
        <v>69</v>
      </c>
      <c r="AL18" t="s">
        <v>120</v>
      </c>
      <c r="AM18" t="s">
        <v>69</v>
      </c>
      <c r="AN18">
        <v>147.131</v>
      </c>
      <c r="AO18" t="s">
        <v>69</v>
      </c>
      <c r="AP18" t="s">
        <v>69</v>
      </c>
      <c r="AQ18">
        <v>57</v>
      </c>
      <c r="AR18" t="s">
        <v>73</v>
      </c>
      <c r="AS18" t="s">
        <v>69</v>
      </c>
      <c r="AT18" t="s">
        <v>71</v>
      </c>
      <c r="AU18" t="s">
        <v>69</v>
      </c>
      <c r="AV18">
        <v>89.093999999999994</v>
      </c>
      <c r="AW18" t="s">
        <v>69</v>
      </c>
      <c r="AX18" t="s">
        <v>69</v>
      </c>
      <c r="AY18">
        <v>58</v>
      </c>
      <c r="AZ18" t="s">
        <v>249</v>
      </c>
      <c r="BA18" t="s">
        <v>69</v>
      </c>
      <c r="BB18" t="s">
        <v>117</v>
      </c>
      <c r="BC18" t="s">
        <v>69</v>
      </c>
      <c r="BD18">
        <v>121.154</v>
      </c>
      <c r="BE18" t="s">
        <v>69</v>
      </c>
      <c r="BF18" t="s">
        <v>69</v>
      </c>
      <c r="BG18">
        <v>89</v>
      </c>
      <c r="BH18" t="s">
        <v>73</v>
      </c>
      <c r="BI18" t="s">
        <v>153</v>
      </c>
      <c r="BJ18" t="s">
        <v>71</v>
      </c>
      <c r="BK18" t="s">
        <v>69</v>
      </c>
      <c r="BL18">
        <v>89.093999999999994</v>
      </c>
      <c r="BM18" t="s">
        <v>69</v>
      </c>
      <c r="BN18" t="s">
        <v>69</v>
      </c>
      <c r="BO18">
        <v>90</v>
      </c>
      <c r="BP18" t="s">
        <v>119</v>
      </c>
      <c r="BQ18" t="s">
        <v>69</v>
      </c>
      <c r="BR18" t="s">
        <v>120</v>
      </c>
      <c r="BS18" t="s">
        <v>69</v>
      </c>
      <c r="BT18">
        <v>147.131</v>
      </c>
      <c r="BU18" t="s">
        <v>69</v>
      </c>
      <c r="BV18" t="s">
        <v>69</v>
      </c>
      <c r="BW18">
        <v>92</v>
      </c>
      <c r="BX18" t="s">
        <v>147</v>
      </c>
      <c r="BY18" t="s">
        <v>69</v>
      </c>
      <c r="BZ18" t="s">
        <v>148</v>
      </c>
      <c r="CA18" t="s">
        <v>69</v>
      </c>
      <c r="CB18">
        <v>146.14599999999999</v>
      </c>
      <c r="CC18" t="s">
        <v>69</v>
      </c>
      <c r="CD18" t="s">
        <v>69</v>
      </c>
      <c r="CE18">
        <v>93</v>
      </c>
      <c r="CF18" t="s">
        <v>73</v>
      </c>
      <c r="CG18" t="s">
        <v>69</v>
      </c>
      <c r="CH18" t="s">
        <v>71</v>
      </c>
      <c r="CI18" t="s">
        <v>69</v>
      </c>
      <c r="CJ18">
        <v>89.093999999999994</v>
      </c>
      <c r="CK18" t="s">
        <v>69</v>
      </c>
      <c r="CL18" t="s">
        <v>69</v>
      </c>
      <c r="CM18">
        <v>94</v>
      </c>
      <c r="CN18" t="s">
        <v>73</v>
      </c>
      <c r="CO18" t="s">
        <v>69</v>
      </c>
      <c r="CP18" t="s">
        <v>71</v>
      </c>
      <c r="CQ18" t="s">
        <v>69</v>
      </c>
      <c r="CR18">
        <v>89.093999999999994</v>
      </c>
      <c r="CS18" t="s">
        <v>69</v>
      </c>
      <c r="CT18" t="s">
        <v>69</v>
      </c>
      <c r="CU18">
        <v>96</v>
      </c>
      <c r="CV18" t="s">
        <v>249</v>
      </c>
      <c r="CW18" t="s">
        <v>69</v>
      </c>
      <c r="CX18" t="s">
        <v>117</v>
      </c>
      <c r="CY18" t="s">
        <v>69</v>
      </c>
      <c r="CZ18">
        <v>121.154</v>
      </c>
      <c r="DA18" t="s">
        <v>69</v>
      </c>
      <c r="DB18" t="s">
        <v>69</v>
      </c>
      <c r="DC18">
        <v>97</v>
      </c>
      <c r="DD18" t="s">
        <v>153</v>
      </c>
      <c r="DE18" t="s">
        <v>69</v>
      </c>
      <c r="DF18" t="s">
        <v>148</v>
      </c>
      <c r="DG18" t="s">
        <v>69</v>
      </c>
      <c r="DH18">
        <v>132.119</v>
      </c>
      <c r="DI18" t="s">
        <v>69</v>
      </c>
      <c r="DJ18" t="s">
        <v>69</v>
      </c>
      <c r="DK18">
        <v>110</v>
      </c>
      <c r="DL18" t="s">
        <v>119</v>
      </c>
      <c r="DM18" t="s">
        <v>69</v>
      </c>
      <c r="DN18" t="s">
        <v>120</v>
      </c>
      <c r="DO18" t="s">
        <v>69</v>
      </c>
      <c r="DP18">
        <v>147.131</v>
      </c>
      <c r="DQ18" t="s">
        <v>69</v>
      </c>
      <c r="DR18" t="s">
        <v>69</v>
      </c>
      <c r="DS18">
        <v>111</v>
      </c>
      <c r="DT18" t="s">
        <v>76</v>
      </c>
      <c r="DU18" t="s">
        <v>69</v>
      </c>
      <c r="DV18" t="s">
        <v>75</v>
      </c>
      <c r="DW18" t="s">
        <v>69</v>
      </c>
      <c r="DX18">
        <v>146.18899999999999</v>
      </c>
      <c r="DY18" t="s">
        <v>69</v>
      </c>
      <c r="DZ18" t="s">
        <v>69</v>
      </c>
      <c r="EA18" t="s">
        <v>159</v>
      </c>
      <c r="EB18" t="s">
        <v>159</v>
      </c>
      <c r="EC18" t="s">
        <v>153</v>
      </c>
      <c r="ED18" t="s">
        <v>159</v>
      </c>
      <c r="EE18" t="s">
        <v>153</v>
      </c>
      <c r="EF18" t="s">
        <v>159</v>
      </c>
      <c r="EG18" t="s">
        <v>153</v>
      </c>
      <c r="EH18" t="s">
        <v>153</v>
      </c>
      <c r="EI18" t="s">
        <v>159</v>
      </c>
      <c r="EJ18" t="s">
        <v>159</v>
      </c>
      <c r="EK18" t="s">
        <v>153</v>
      </c>
      <c r="EL18" t="s">
        <v>159</v>
      </c>
      <c r="EM18" t="s">
        <v>153</v>
      </c>
      <c r="EN18" t="s">
        <v>159</v>
      </c>
      <c r="EO18" t="s">
        <v>153</v>
      </c>
      <c r="EP18" t="s">
        <v>153</v>
      </c>
      <c r="EQ18">
        <v>115</v>
      </c>
      <c r="ER18" t="s">
        <v>147</v>
      </c>
      <c r="ES18" t="s">
        <v>69</v>
      </c>
      <c r="ET18" t="s">
        <v>148</v>
      </c>
      <c r="EU18" t="s">
        <v>69</v>
      </c>
      <c r="EV18">
        <v>146.14599999999999</v>
      </c>
      <c r="EW18" t="s">
        <v>69</v>
      </c>
      <c r="EX18" t="s">
        <v>69</v>
      </c>
      <c r="EY18">
        <v>117</v>
      </c>
      <c r="EZ18" t="s">
        <v>74</v>
      </c>
      <c r="FA18" t="s">
        <v>153</v>
      </c>
      <c r="FB18" t="s">
        <v>75</v>
      </c>
      <c r="FC18" t="s">
        <v>69</v>
      </c>
      <c r="FD18">
        <v>174.203</v>
      </c>
      <c r="FE18" t="s">
        <v>69</v>
      </c>
      <c r="FF18" t="s">
        <v>69</v>
      </c>
      <c r="FG18">
        <v>118</v>
      </c>
      <c r="FH18" t="s">
        <v>119</v>
      </c>
      <c r="FI18" t="s">
        <v>153</v>
      </c>
      <c r="FJ18" t="s">
        <v>120</v>
      </c>
      <c r="FK18" t="s">
        <v>153</v>
      </c>
      <c r="FL18">
        <v>147.131</v>
      </c>
      <c r="FM18" t="s">
        <v>69</v>
      </c>
      <c r="FN18" t="s">
        <v>69</v>
      </c>
      <c r="FO18">
        <v>122</v>
      </c>
      <c r="FP18" t="s">
        <v>147</v>
      </c>
      <c r="FQ18" t="s">
        <v>153</v>
      </c>
      <c r="FR18" t="s">
        <v>148</v>
      </c>
      <c r="FS18" t="s">
        <v>153</v>
      </c>
      <c r="FT18">
        <v>146.14599999999999</v>
      </c>
      <c r="FU18" t="s">
        <v>69</v>
      </c>
      <c r="FV18" t="s">
        <v>69</v>
      </c>
    </row>
    <row r="19" spans="1:178" x14ac:dyDescent="0.25">
      <c r="A19">
        <v>7</v>
      </c>
      <c r="B19" t="str">
        <f>HYPERLINK("http://www.ncbi.nlm.nih.gov/protein/XP_006995988.1","XP_006995988.1")</f>
        <v>XP_006995988.1</v>
      </c>
      <c r="C19">
        <v>54287</v>
      </c>
      <c r="D19" t="str">
        <f>HYPERLINK("http://www.ncbi.nlm.nih.gov/Taxonomy/Browser/wwwtax.cgi?mode=Info&amp;id=230844&amp;lvl=3&amp;lin=f&amp;keep=1&amp;srchmode=1&amp;unlock","230844")</f>
        <v>230844</v>
      </c>
      <c r="E19" t="s">
        <v>66</v>
      </c>
      <c r="F19" t="str">
        <f>HYPERLINK("http://www.ncbi.nlm.nih.gov/Taxonomy/Browser/wwwtax.cgi?mode=Info&amp;id=230844&amp;lvl=3&amp;lin=f&amp;keep=1&amp;srchmode=1&amp;unlock","Peromyscus maniculatus bairdii")</f>
        <v>Peromyscus maniculatus bairdii</v>
      </c>
      <c r="G19" t="s">
        <v>88</v>
      </c>
      <c r="H19" t="str">
        <f>HYPERLINK("http://www.ncbi.nlm.nih.gov/protein/XP_006995988.1","bone marrow stromal antigen 2")</f>
        <v>bone marrow stromal antigen 2</v>
      </c>
      <c r="I19" t="s">
        <v>248</v>
      </c>
      <c r="J19" t="s">
        <v>153</v>
      </c>
      <c r="K19">
        <v>53</v>
      </c>
      <c r="L19" t="s">
        <v>73</v>
      </c>
      <c r="M19" t="s">
        <v>69</v>
      </c>
      <c r="N19" t="s">
        <v>71</v>
      </c>
      <c r="O19" t="s">
        <v>69</v>
      </c>
      <c r="P19">
        <v>89.093999999999994</v>
      </c>
      <c r="Q19" t="s">
        <v>69</v>
      </c>
      <c r="R19" t="s">
        <v>69</v>
      </c>
      <c r="S19">
        <v>54</v>
      </c>
      <c r="T19" t="s">
        <v>153</v>
      </c>
      <c r="U19" t="s">
        <v>69</v>
      </c>
      <c r="V19" t="s">
        <v>148</v>
      </c>
      <c r="W19" t="s">
        <v>69</v>
      </c>
      <c r="X19">
        <v>132.119</v>
      </c>
      <c r="Y19" t="s">
        <v>69</v>
      </c>
      <c r="Z19" t="s">
        <v>69</v>
      </c>
      <c r="AA19">
        <v>55</v>
      </c>
      <c r="AB19" t="s">
        <v>155</v>
      </c>
      <c r="AC19" t="s">
        <v>69</v>
      </c>
      <c r="AD19" t="s">
        <v>150</v>
      </c>
      <c r="AE19" t="s">
        <v>69</v>
      </c>
      <c r="AF19">
        <v>105.093</v>
      </c>
      <c r="AG19" t="s">
        <v>69</v>
      </c>
      <c r="AH19" t="s">
        <v>69</v>
      </c>
      <c r="AI19">
        <v>56</v>
      </c>
      <c r="AJ19" t="s">
        <v>119</v>
      </c>
      <c r="AK19" t="s">
        <v>69</v>
      </c>
      <c r="AL19" t="s">
        <v>120</v>
      </c>
      <c r="AM19" t="s">
        <v>69</v>
      </c>
      <c r="AN19">
        <v>147.131</v>
      </c>
      <c r="AO19" t="s">
        <v>69</v>
      </c>
      <c r="AP19" t="s">
        <v>69</v>
      </c>
      <c r="AQ19">
        <v>57</v>
      </c>
      <c r="AR19" t="s">
        <v>73</v>
      </c>
      <c r="AS19" t="s">
        <v>69</v>
      </c>
      <c r="AT19" t="s">
        <v>71</v>
      </c>
      <c r="AU19" t="s">
        <v>69</v>
      </c>
      <c r="AV19">
        <v>89.093999999999994</v>
      </c>
      <c r="AW19" t="s">
        <v>69</v>
      </c>
      <c r="AX19" t="s">
        <v>69</v>
      </c>
      <c r="AY19">
        <v>58</v>
      </c>
      <c r="AZ19" t="s">
        <v>249</v>
      </c>
      <c r="BA19" t="s">
        <v>69</v>
      </c>
      <c r="BB19" t="s">
        <v>117</v>
      </c>
      <c r="BC19" t="s">
        <v>69</v>
      </c>
      <c r="BD19">
        <v>121.154</v>
      </c>
      <c r="BE19" t="s">
        <v>69</v>
      </c>
      <c r="BF19" t="s">
        <v>69</v>
      </c>
      <c r="BG19">
        <v>89</v>
      </c>
      <c r="BH19" t="s">
        <v>73</v>
      </c>
      <c r="BI19" t="s">
        <v>153</v>
      </c>
      <c r="BJ19" t="s">
        <v>71</v>
      </c>
      <c r="BK19" t="s">
        <v>69</v>
      </c>
      <c r="BL19">
        <v>89.093999999999994</v>
      </c>
      <c r="BM19" t="s">
        <v>69</v>
      </c>
      <c r="BN19" t="s">
        <v>69</v>
      </c>
      <c r="BO19">
        <v>90</v>
      </c>
      <c r="BP19" t="s">
        <v>119</v>
      </c>
      <c r="BQ19" t="s">
        <v>69</v>
      </c>
      <c r="BR19" t="s">
        <v>120</v>
      </c>
      <c r="BS19" t="s">
        <v>69</v>
      </c>
      <c r="BT19">
        <v>147.131</v>
      </c>
      <c r="BU19" t="s">
        <v>69</v>
      </c>
      <c r="BV19" t="s">
        <v>69</v>
      </c>
      <c r="BW19">
        <v>92</v>
      </c>
      <c r="BX19" t="s">
        <v>147</v>
      </c>
      <c r="BY19" t="s">
        <v>69</v>
      </c>
      <c r="BZ19" t="s">
        <v>148</v>
      </c>
      <c r="CA19" t="s">
        <v>69</v>
      </c>
      <c r="CB19">
        <v>146.14599999999999</v>
      </c>
      <c r="CC19" t="s">
        <v>69</v>
      </c>
      <c r="CD19" t="s">
        <v>69</v>
      </c>
      <c r="CE19">
        <v>93</v>
      </c>
      <c r="CF19" t="s">
        <v>73</v>
      </c>
      <c r="CG19" t="s">
        <v>69</v>
      </c>
      <c r="CH19" t="s">
        <v>71</v>
      </c>
      <c r="CI19" t="s">
        <v>69</v>
      </c>
      <c r="CJ19">
        <v>89.093999999999994</v>
      </c>
      <c r="CK19" t="s">
        <v>69</v>
      </c>
      <c r="CL19" t="s">
        <v>69</v>
      </c>
      <c r="CM19">
        <v>94</v>
      </c>
      <c r="CN19" t="s">
        <v>153</v>
      </c>
      <c r="CO19" t="s">
        <v>153</v>
      </c>
      <c r="CP19" t="s">
        <v>148</v>
      </c>
      <c r="CQ19" t="s">
        <v>153</v>
      </c>
      <c r="CR19">
        <v>132.119</v>
      </c>
      <c r="CS19" t="s">
        <v>153</v>
      </c>
      <c r="CT19" t="s">
        <v>153</v>
      </c>
      <c r="CU19">
        <v>96</v>
      </c>
      <c r="CV19" t="s">
        <v>249</v>
      </c>
      <c r="CW19" t="s">
        <v>69</v>
      </c>
      <c r="CX19" t="s">
        <v>117</v>
      </c>
      <c r="CY19" t="s">
        <v>69</v>
      </c>
      <c r="CZ19">
        <v>121.154</v>
      </c>
      <c r="DA19" t="s">
        <v>69</v>
      </c>
      <c r="DB19" t="s">
        <v>69</v>
      </c>
      <c r="DC19">
        <v>97</v>
      </c>
      <c r="DD19" t="s">
        <v>153</v>
      </c>
      <c r="DE19" t="s">
        <v>69</v>
      </c>
      <c r="DF19" t="s">
        <v>148</v>
      </c>
      <c r="DG19" t="s">
        <v>69</v>
      </c>
      <c r="DH19">
        <v>132.119</v>
      </c>
      <c r="DI19" t="s">
        <v>69</v>
      </c>
      <c r="DJ19" t="s">
        <v>69</v>
      </c>
      <c r="DK19">
        <v>110</v>
      </c>
      <c r="DL19" t="s">
        <v>147</v>
      </c>
      <c r="DM19" t="s">
        <v>153</v>
      </c>
      <c r="DN19" t="s">
        <v>148</v>
      </c>
      <c r="DO19" t="s">
        <v>153</v>
      </c>
      <c r="DP19">
        <v>146.14599999999999</v>
      </c>
      <c r="DQ19" t="s">
        <v>69</v>
      </c>
      <c r="DR19" t="s">
        <v>69</v>
      </c>
      <c r="DS19">
        <v>111</v>
      </c>
      <c r="DT19" t="s">
        <v>115</v>
      </c>
      <c r="DU19" t="s">
        <v>153</v>
      </c>
      <c r="DV19" t="s">
        <v>71</v>
      </c>
      <c r="DW19" t="s">
        <v>153</v>
      </c>
      <c r="DX19">
        <v>117.148</v>
      </c>
      <c r="DY19" t="s">
        <v>69</v>
      </c>
      <c r="DZ19" t="s">
        <v>69</v>
      </c>
      <c r="EA19">
        <v>116</v>
      </c>
      <c r="EB19" t="s">
        <v>119</v>
      </c>
      <c r="EC19" t="s">
        <v>153</v>
      </c>
      <c r="ED19" t="s">
        <v>120</v>
      </c>
      <c r="EE19" t="s">
        <v>153</v>
      </c>
      <c r="EF19">
        <v>147.131</v>
      </c>
      <c r="EG19" t="s">
        <v>69</v>
      </c>
      <c r="EH19" t="s">
        <v>69</v>
      </c>
      <c r="EI19">
        <v>117</v>
      </c>
      <c r="EJ19" t="s">
        <v>147</v>
      </c>
      <c r="EK19" t="s">
        <v>153</v>
      </c>
      <c r="EL19" t="s">
        <v>148</v>
      </c>
      <c r="EM19" t="s">
        <v>153</v>
      </c>
      <c r="EN19">
        <v>146.14599999999999</v>
      </c>
      <c r="EO19" t="s">
        <v>153</v>
      </c>
      <c r="EP19" t="s">
        <v>153</v>
      </c>
      <c r="EQ19">
        <v>118</v>
      </c>
      <c r="ER19" t="s">
        <v>147</v>
      </c>
      <c r="ES19" t="s">
        <v>69</v>
      </c>
      <c r="ET19" t="s">
        <v>148</v>
      </c>
      <c r="EU19" t="s">
        <v>69</v>
      </c>
      <c r="EV19">
        <v>146.14599999999999</v>
      </c>
      <c r="EW19" t="s">
        <v>69</v>
      </c>
      <c r="EX19" t="s">
        <v>69</v>
      </c>
      <c r="EY19">
        <v>120</v>
      </c>
      <c r="EZ19" t="s">
        <v>74</v>
      </c>
      <c r="FA19" t="s">
        <v>153</v>
      </c>
      <c r="FB19" t="s">
        <v>75</v>
      </c>
      <c r="FC19" t="s">
        <v>69</v>
      </c>
      <c r="FD19">
        <v>174.203</v>
      </c>
      <c r="FE19" t="s">
        <v>69</v>
      </c>
      <c r="FF19" t="s">
        <v>69</v>
      </c>
      <c r="FG19" t="s">
        <v>159</v>
      </c>
      <c r="FH19" t="s">
        <v>159</v>
      </c>
      <c r="FI19" t="s">
        <v>153</v>
      </c>
      <c r="FJ19" t="s">
        <v>159</v>
      </c>
      <c r="FK19" t="s">
        <v>153</v>
      </c>
      <c r="FL19" t="s">
        <v>159</v>
      </c>
      <c r="FM19" t="s">
        <v>153</v>
      </c>
      <c r="FN19" t="s">
        <v>153</v>
      </c>
      <c r="FO19" t="s">
        <v>159</v>
      </c>
      <c r="FP19" t="s">
        <v>159</v>
      </c>
      <c r="FQ19" t="s">
        <v>153</v>
      </c>
      <c r="FR19" t="s">
        <v>159</v>
      </c>
      <c r="FS19" t="s">
        <v>153</v>
      </c>
      <c r="FT19" t="s">
        <v>159</v>
      </c>
      <c r="FU19" t="s">
        <v>153</v>
      </c>
      <c r="FV19" t="s">
        <v>153</v>
      </c>
    </row>
    <row r="20" spans="1:178" x14ac:dyDescent="0.25">
      <c r="A20">
        <v>7</v>
      </c>
      <c r="B20" t="str">
        <f>HYPERLINK("http://www.ncbi.nlm.nih.gov/protein/NP_932763.1","NP_932763.1")</f>
        <v>NP_932763.1</v>
      </c>
      <c r="C20">
        <v>337449</v>
      </c>
      <c r="D20" t="str">
        <f>HYPERLINK("http://www.ncbi.nlm.nih.gov/Taxonomy/Browser/wwwtax.cgi?mode=Info&amp;id=10090&amp;lvl=3&amp;lin=f&amp;keep=1&amp;srchmode=1&amp;unlock","10090")</f>
        <v>10090</v>
      </c>
      <c r="E20" t="s">
        <v>66</v>
      </c>
      <c r="F20" t="str">
        <f>HYPERLINK("http://www.ncbi.nlm.nih.gov/Taxonomy/Browser/wwwtax.cgi?mode=Info&amp;id=10090&amp;lvl=3&amp;lin=f&amp;keep=1&amp;srchmode=1&amp;unlock","Mus musculus")</f>
        <v>Mus musculus</v>
      </c>
      <c r="G20" t="s">
        <v>104</v>
      </c>
      <c r="H20" t="str">
        <f>HYPERLINK("http://www.ncbi.nlm.nih.gov/protein/NP_932763.1","bone marrow stromal antigen 2")</f>
        <v>bone marrow stromal antigen 2</v>
      </c>
      <c r="I20" t="s">
        <v>248</v>
      </c>
      <c r="J20" t="s">
        <v>153</v>
      </c>
      <c r="K20">
        <v>53</v>
      </c>
      <c r="L20" t="s">
        <v>73</v>
      </c>
      <c r="M20" t="s">
        <v>69</v>
      </c>
      <c r="N20" t="s">
        <v>71</v>
      </c>
      <c r="O20" t="s">
        <v>69</v>
      </c>
      <c r="P20">
        <v>89.093999999999994</v>
      </c>
      <c r="Q20" t="s">
        <v>69</v>
      </c>
      <c r="R20" t="s">
        <v>69</v>
      </c>
      <c r="S20">
        <v>54</v>
      </c>
      <c r="T20" t="s">
        <v>153</v>
      </c>
      <c r="U20" t="s">
        <v>69</v>
      </c>
      <c r="V20" t="s">
        <v>148</v>
      </c>
      <c r="W20" t="s">
        <v>69</v>
      </c>
      <c r="X20">
        <v>132.119</v>
      </c>
      <c r="Y20" t="s">
        <v>69</v>
      </c>
      <c r="Z20" t="s">
        <v>69</v>
      </c>
      <c r="AA20">
        <v>55</v>
      </c>
      <c r="AB20" t="s">
        <v>155</v>
      </c>
      <c r="AC20" t="s">
        <v>69</v>
      </c>
      <c r="AD20" t="s">
        <v>150</v>
      </c>
      <c r="AE20" t="s">
        <v>69</v>
      </c>
      <c r="AF20">
        <v>105.093</v>
      </c>
      <c r="AG20" t="s">
        <v>69</v>
      </c>
      <c r="AH20" t="s">
        <v>69</v>
      </c>
      <c r="AI20">
        <v>56</v>
      </c>
      <c r="AJ20" t="s">
        <v>115</v>
      </c>
      <c r="AK20" t="s">
        <v>153</v>
      </c>
      <c r="AL20" t="s">
        <v>71</v>
      </c>
      <c r="AM20" t="s">
        <v>153</v>
      </c>
      <c r="AN20">
        <v>117.148</v>
      </c>
      <c r="AO20" t="s">
        <v>69</v>
      </c>
      <c r="AP20" t="s">
        <v>69</v>
      </c>
      <c r="AQ20">
        <v>57</v>
      </c>
      <c r="AR20" t="s">
        <v>73</v>
      </c>
      <c r="AS20" t="s">
        <v>69</v>
      </c>
      <c r="AT20" t="s">
        <v>71</v>
      </c>
      <c r="AU20" t="s">
        <v>69</v>
      </c>
      <c r="AV20">
        <v>89.093999999999994</v>
      </c>
      <c r="AW20" t="s">
        <v>69</v>
      </c>
      <c r="AX20" t="s">
        <v>69</v>
      </c>
      <c r="AY20">
        <v>58</v>
      </c>
      <c r="AZ20" t="s">
        <v>249</v>
      </c>
      <c r="BA20" t="s">
        <v>69</v>
      </c>
      <c r="BB20" t="s">
        <v>117</v>
      </c>
      <c r="BC20" t="s">
        <v>69</v>
      </c>
      <c r="BD20">
        <v>121.154</v>
      </c>
      <c r="BE20" t="s">
        <v>69</v>
      </c>
      <c r="BF20" t="s">
        <v>69</v>
      </c>
      <c r="BG20">
        <v>89</v>
      </c>
      <c r="BH20" t="s">
        <v>73</v>
      </c>
      <c r="BI20" t="s">
        <v>153</v>
      </c>
      <c r="BJ20" t="s">
        <v>71</v>
      </c>
      <c r="BK20" t="s">
        <v>69</v>
      </c>
      <c r="BL20">
        <v>89.093999999999994</v>
      </c>
      <c r="BM20" t="s">
        <v>69</v>
      </c>
      <c r="BN20" t="s">
        <v>69</v>
      </c>
      <c r="BO20">
        <v>90</v>
      </c>
      <c r="BP20" t="s">
        <v>119</v>
      </c>
      <c r="BQ20" t="s">
        <v>69</v>
      </c>
      <c r="BR20" t="s">
        <v>120</v>
      </c>
      <c r="BS20" t="s">
        <v>69</v>
      </c>
      <c r="BT20">
        <v>147.131</v>
      </c>
      <c r="BU20" t="s">
        <v>69</v>
      </c>
      <c r="BV20" t="s">
        <v>69</v>
      </c>
      <c r="BW20">
        <v>92</v>
      </c>
      <c r="BX20" t="s">
        <v>147</v>
      </c>
      <c r="BY20" t="s">
        <v>69</v>
      </c>
      <c r="BZ20" t="s">
        <v>148</v>
      </c>
      <c r="CA20" t="s">
        <v>69</v>
      </c>
      <c r="CB20">
        <v>146.14599999999999</v>
      </c>
      <c r="CC20" t="s">
        <v>69</v>
      </c>
      <c r="CD20" t="s">
        <v>69</v>
      </c>
      <c r="CE20">
        <v>93</v>
      </c>
      <c r="CF20" t="s">
        <v>73</v>
      </c>
      <c r="CG20" t="s">
        <v>69</v>
      </c>
      <c r="CH20" t="s">
        <v>71</v>
      </c>
      <c r="CI20" t="s">
        <v>69</v>
      </c>
      <c r="CJ20">
        <v>89.093999999999994</v>
      </c>
      <c r="CK20" t="s">
        <v>69</v>
      </c>
      <c r="CL20" t="s">
        <v>69</v>
      </c>
      <c r="CM20">
        <v>94</v>
      </c>
      <c r="CN20" t="s">
        <v>153</v>
      </c>
      <c r="CO20" t="s">
        <v>153</v>
      </c>
      <c r="CP20" t="s">
        <v>148</v>
      </c>
      <c r="CQ20" t="s">
        <v>153</v>
      </c>
      <c r="CR20">
        <v>132.119</v>
      </c>
      <c r="CS20" t="s">
        <v>153</v>
      </c>
      <c r="CT20" t="s">
        <v>153</v>
      </c>
      <c r="CU20">
        <v>96</v>
      </c>
      <c r="CV20" t="s">
        <v>249</v>
      </c>
      <c r="CW20" t="s">
        <v>69</v>
      </c>
      <c r="CX20" t="s">
        <v>117</v>
      </c>
      <c r="CY20" t="s">
        <v>69</v>
      </c>
      <c r="CZ20">
        <v>121.154</v>
      </c>
      <c r="DA20" t="s">
        <v>69</v>
      </c>
      <c r="DB20" t="s">
        <v>69</v>
      </c>
      <c r="DC20">
        <v>97</v>
      </c>
      <c r="DD20" t="s">
        <v>153</v>
      </c>
      <c r="DE20" t="s">
        <v>69</v>
      </c>
      <c r="DF20" t="s">
        <v>148</v>
      </c>
      <c r="DG20" t="s">
        <v>69</v>
      </c>
      <c r="DH20">
        <v>132.119</v>
      </c>
      <c r="DI20" t="s">
        <v>69</v>
      </c>
      <c r="DJ20" t="s">
        <v>69</v>
      </c>
      <c r="DK20">
        <v>110</v>
      </c>
      <c r="DL20" t="s">
        <v>76</v>
      </c>
      <c r="DM20" t="s">
        <v>153</v>
      </c>
      <c r="DN20" t="s">
        <v>75</v>
      </c>
      <c r="DO20" t="s">
        <v>153</v>
      </c>
      <c r="DP20">
        <v>146.18899999999999</v>
      </c>
      <c r="DQ20" t="s">
        <v>69</v>
      </c>
      <c r="DR20" t="s">
        <v>69</v>
      </c>
      <c r="DS20">
        <v>111</v>
      </c>
      <c r="DT20" t="s">
        <v>115</v>
      </c>
      <c r="DU20" t="s">
        <v>153</v>
      </c>
      <c r="DV20" t="s">
        <v>71</v>
      </c>
      <c r="DW20" t="s">
        <v>153</v>
      </c>
      <c r="DX20">
        <v>117.148</v>
      </c>
      <c r="DY20" t="s">
        <v>69</v>
      </c>
      <c r="DZ20" t="s">
        <v>69</v>
      </c>
      <c r="EA20">
        <v>116</v>
      </c>
      <c r="EB20" t="s">
        <v>119</v>
      </c>
      <c r="EC20" t="s">
        <v>153</v>
      </c>
      <c r="ED20" t="s">
        <v>120</v>
      </c>
      <c r="EE20" t="s">
        <v>153</v>
      </c>
      <c r="EF20">
        <v>147.131</v>
      </c>
      <c r="EG20" t="s">
        <v>69</v>
      </c>
      <c r="EH20" t="s">
        <v>69</v>
      </c>
      <c r="EI20">
        <v>117</v>
      </c>
      <c r="EJ20" t="s">
        <v>147</v>
      </c>
      <c r="EK20" t="s">
        <v>153</v>
      </c>
      <c r="EL20" t="s">
        <v>148</v>
      </c>
      <c r="EM20" t="s">
        <v>153</v>
      </c>
      <c r="EN20">
        <v>146.14599999999999</v>
      </c>
      <c r="EO20" t="s">
        <v>153</v>
      </c>
      <c r="EP20" t="s">
        <v>153</v>
      </c>
      <c r="EQ20">
        <v>118</v>
      </c>
      <c r="ER20" t="s">
        <v>147</v>
      </c>
      <c r="ES20" t="s">
        <v>69</v>
      </c>
      <c r="ET20" t="s">
        <v>148</v>
      </c>
      <c r="EU20" t="s">
        <v>69</v>
      </c>
      <c r="EV20">
        <v>146.14599999999999</v>
      </c>
      <c r="EW20" t="s">
        <v>69</v>
      </c>
      <c r="EX20" t="s">
        <v>69</v>
      </c>
      <c r="EY20">
        <v>120</v>
      </c>
      <c r="EZ20" t="s">
        <v>74</v>
      </c>
      <c r="FA20" t="s">
        <v>153</v>
      </c>
      <c r="FB20" t="s">
        <v>75</v>
      </c>
      <c r="FC20" t="s">
        <v>69</v>
      </c>
      <c r="FD20">
        <v>174.203</v>
      </c>
      <c r="FE20" t="s">
        <v>69</v>
      </c>
      <c r="FF20" t="s">
        <v>69</v>
      </c>
      <c r="FG20" t="s">
        <v>159</v>
      </c>
      <c r="FH20" t="s">
        <v>159</v>
      </c>
      <c r="FI20" t="s">
        <v>153</v>
      </c>
      <c r="FJ20" t="s">
        <v>159</v>
      </c>
      <c r="FK20" t="s">
        <v>153</v>
      </c>
      <c r="FL20" t="s">
        <v>159</v>
      </c>
      <c r="FM20" t="s">
        <v>153</v>
      </c>
      <c r="FN20" t="s">
        <v>153</v>
      </c>
      <c r="FO20" t="s">
        <v>159</v>
      </c>
      <c r="FP20" t="s">
        <v>159</v>
      </c>
      <c r="FQ20" t="s">
        <v>153</v>
      </c>
      <c r="FR20" t="s">
        <v>159</v>
      </c>
      <c r="FS20" t="s">
        <v>153</v>
      </c>
      <c r="FT20" t="s">
        <v>159</v>
      </c>
      <c r="FU20" t="s">
        <v>153</v>
      </c>
      <c r="FV20" t="s">
        <v>153</v>
      </c>
    </row>
    <row r="21" spans="1:178" x14ac:dyDescent="0.25">
      <c r="A21">
        <v>7</v>
      </c>
      <c r="B21" t="str">
        <f>HYPERLINK("http://www.ncbi.nlm.nih.gov/protein/NP_001155227.1","NP_001155227.1")</f>
        <v>NP_001155227.1</v>
      </c>
      <c r="C21">
        <v>86952</v>
      </c>
      <c r="D21" t="str">
        <f>HYPERLINK("http://www.ncbi.nlm.nih.gov/Taxonomy/Browser/wwwtax.cgi?mode=Info&amp;id=9823&amp;lvl=3&amp;lin=f&amp;keep=1&amp;srchmode=1&amp;unlock","9823")</f>
        <v>9823</v>
      </c>
      <c r="E21" t="s">
        <v>66</v>
      </c>
      <c r="F21" t="str">
        <f>HYPERLINK("http://www.ncbi.nlm.nih.gov/Taxonomy/Browser/wwwtax.cgi?mode=Info&amp;id=9823&amp;lvl=3&amp;lin=f&amp;keep=1&amp;srchmode=1&amp;unlock","Sus scrofa")</f>
        <v>Sus scrofa</v>
      </c>
      <c r="G21" t="s">
        <v>85</v>
      </c>
      <c r="H21" t="str">
        <f>HYPERLINK("http://www.ncbi.nlm.nih.gov/protein/NP_001155227.1","bone marrow stromal antigen 2")</f>
        <v>bone marrow stromal antigen 2</v>
      </c>
      <c r="I21" t="s">
        <v>248</v>
      </c>
      <c r="J21" t="s">
        <v>153</v>
      </c>
      <c r="K21">
        <v>51</v>
      </c>
      <c r="L21" t="s">
        <v>73</v>
      </c>
      <c r="M21" t="s">
        <v>69</v>
      </c>
      <c r="N21" t="s">
        <v>71</v>
      </c>
      <c r="O21" t="s">
        <v>69</v>
      </c>
      <c r="P21">
        <v>89.093999999999994</v>
      </c>
      <c r="Q21" t="s">
        <v>69</v>
      </c>
      <c r="R21" t="s">
        <v>69</v>
      </c>
      <c r="S21">
        <v>52</v>
      </c>
      <c r="T21" t="s">
        <v>153</v>
      </c>
      <c r="U21" t="s">
        <v>69</v>
      </c>
      <c r="V21" t="s">
        <v>148</v>
      </c>
      <c r="W21" t="s">
        <v>69</v>
      </c>
      <c r="X21">
        <v>132.119</v>
      </c>
      <c r="Y21" t="s">
        <v>69</v>
      </c>
      <c r="Z21" t="s">
        <v>69</v>
      </c>
      <c r="AA21">
        <v>53</v>
      </c>
      <c r="AB21" t="s">
        <v>155</v>
      </c>
      <c r="AC21" t="s">
        <v>69</v>
      </c>
      <c r="AD21" t="s">
        <v>150</v>
      </c>
      <c r="AE21" t="s">
        <v>69</v>
      </c>
      <c r="AF21">
        <v>105.093</v>
      </c>
      <c r="AG21" t="s">
        <v>69</v>
      </c>
      <c r="AH21" t="s">
        <v>69</v>
      </c>
      <c r="AI21">
        <v>54</v>
      </c>
      <c r="AJ21" t="s">
        <v>76</v>
      </c>
      <c r="AK21" t="s">
        <v>153</v>
      </c>
      <c r="AL21" t="s">
        <v>75</v>
      </c>
      <c r="AM21" t="s">
        <v>153</v>
      </c>
      <c r="AN21">
        <v>146.18899999999999</v>
      </c>
      <c r="AO21" t="s">
        <v>69</v>
      </c>
      <c r="AP21" t="s">
        <v>69</v>
      </c>
      <c r="AQ21">
        <v>55</v>
      </c>
      <c r="AR21" t="s">
        <v>70</v>
      </c>
      <c r="AS21" t="s">
        <v>153</v>
      </c>
      <c r="AT21" t="s">
        <v>71</v>
      </c>
      <c r="AU21" t="s">
        <v>69</v>
      </c>
      <c r="AV21">
        <v>75.066999999999993</v>
      </c>
      <c r="AW21" t="s">
        <v>69</v>
      </c>
      <c r="AX21" t="s">
        <v>69</v>
      </c>
      <c r="AY21">
        <v>56</v>
      </c>
      <c r="AZ21" t="s">
        <v>249</v>
      </c>
      <c r="BA21" t="s">
        <v>69</v>
      </c>
      <c r="BB21" t="s">
        <v>117</v>
      </c>
      <c r="BC21" t="s">
        <v>69</v>
      </c>
      <c r="BD21">
        <v>121.154</v>
      </c>
      <c r="BE21" t="s">
        <v>69</v>
      </c>
      <c r="BF21" t="s">
        <v>69</v>
      </c>
      <c r="BG21">
        <v>87</v>
      </c>
      <c r="BH21" t="s">
        <v>149</v>
      </c>
      <c r="BI21" t="s">
        <v>153</v>
      </c>
      <c r="BJ21" t="s">
        <v>150</v>
      </c>
      <c r="BK21" t="s">
        <v>153</v>
      </c>
      <c r="BL21">
        <v>119.119</v>
      </c>
      <c r="BM21" t="s">
        <v>69</v>
      </c>
      <c r="BN21" t="s">
        <v>69</v>
      </c>
      <c r="BO21">
        <v>88</v>
      </c>
      <c r="BP21" t="s">
        <v>76</v>
      </c>
      <c r="BQ21" t="s">
        <v>153</v>
      </c>
      <c r="BR21" t="s">
        <v>75</v>
      </c>
      <c r="BS21" t="s">
        <v>153</v>
      </c>
      <c r="BT21">
        <v>146.18899999999999</v>
      </c>
      <c r="BU21" t="s">
        <v>69</v>
      </c>
      <c r="BV21" t="s">
        <v>69</v>
      </c>
      <c r="BW21">
        <v>90</v>
      </c>
      <c r="BX21" t="s">
        <v>147</v>
      </c>
      <c r="BY21" t="s">
        <v>69</v>
      </c>
      <c r="BZ21" t="s">
        <v>148</v>
      </c>
      <c r="CA21" t="s">
        <v>69</v>
      </c>
      <c r="CB21">
        <v>146.14599999999999</v>
      </c>
      <c r="CC21" t="s">
        <v>69</v>
      </c>
      <c r="CD21" t="s">
        <v>69</v>
      </c>
      <c r="CE21">
        <v>91</v>
      </c>
      <c r="CF21" t="s">
        <v>69</v>
      </c>
      <c r="CG21" t="s">
        <v>153</v>
      </c>
      <c r="CH21" t="s">
        <v>152</v>
      </c>
      <c r="CI21" t="s">
        <v>153</v>
      </c>
      <c r="CJ21">
        <v>181.191</v>
      </c>
      <c r="CK21" t="s">
        <v>153</v>
      </c>
      <c r="CL21" t="s">
        <v>153</v>
      </c>
      <c r="CM21">
        <v>92</v>
      </c>
      <c r="CN21" t="s">
        <v>149</v>
      </c>
      <c r="CO21" t="s">
        <v>153</v>
      </c>
      <c r="CP21" t="s">
        <v>150</v>
      </c>
      <c r="CQ21" t="s">
        <v>153</v>
      </c>
      <c r="CR21">
        <v>119.119</v>
      </c>
      <c r="CS21" t="s">
        <v>153</v>
      </c>
      <c r="CT21" t="s">
        <v>153</v>
      </c>
      <c r="CU21">
        <v>94</v>
      </c>
      <c r="CV21" t="s">
        <v>249</v>
      </c>
      <c r="CW21" t="s">
        <v>69</v>
      </c>
      <c r="CX21" t="s">
        <v>117</v>
      </c>
      <c r="CY21" t="s">
        <v>69</v>
      </c>
      <c r="CZ21">
        <v>121.154</v>
      </c>
      <c r="DA21" t="s">
        <v>69</v>
      </c>
      <c r="DB21" t="s">
        <v>69</v>
      </c>
      <c r="DC21">
        <v>95</v>
      </c>
      <c r="DD21" t="s">
        <v>153</v>
      </c>
      <c r="DE21" t="s">
        <v>69</v>
      </c>
      <c r="DF21" t="s">
        <v>148</v>
      </c>
      <c r="DG21" t="s">
        <v>69</v>
      </c>
      <c r="DH21">
        <v>132.119</v>
      </c>
      <c r="DI21" t="s">
        <v>69</v>
      </c>
      <c r="DJ21" t="s">
        <v>69</v>
      </c>
      <c r="DK21">
        <v>108</v>
      </c>
      <c r="DL21" t="s">
        <v>119</v>
      </c>
      <c r="DM21" t="s">
        <v>69</v>
      </c>
      <c r="DN21" t="s">
        <v>120</v>
      </c>
      <c r="DO21" t="s">
        <v>69</v>
      </c>
      <c r="DP21">
        <v>147.131</v>
      </c>
      <c r="DQ21" t="s">
        <v>69</v>
      </c>
      <c r="DR21" t="s">
        <v>69</v>
      </c>
      <c r="DS21">
        <v>109</v>
      </c>
      <c r="DT21" t="s">
        <v>76</v>
      </c>
      <c r="DU21" t="s">
        <v>69</v>
      </c>
      <c r="DV21" t="s">
        <v>75</v>
      </c>
      <c r="DW21" t="s">
        <v>69</v>
      </c>
      <c r="DX21">
        <v>146.18899999999999</v>
      </c>
      <c r="DY21" t="s">
        <v>69</v>
      </c>
      <c r="DZ21" t="s">
        <v>69</v>
      </c>
      <c r="EA21" t="s">
        <v>159</v>
      </c>
      <c r="EB21" t="s">
        <v>159</v>
      </c>
      <c r="EC21" t="s">
        <v>153</v>
      </c>
      <c r="ED21" t="s">
        <v>159</v>
      </c>
      <c r="EE21" t="s">
        <v>153</v>
      </c>
      <c r="EF21" t="s">
        <v>159</v>
      </c>
      <c r="EG21" t="s">
        <v>153</v>
      </c>
      <c r="EH21" t="s">
        <v>153</v>
      </c>
      <c r="EI21" t="s">
        <v>159</v>
      </c>
      <c r="EJ21" t="s">
        <v>159</v>
      </c>
      <c r="EK21" t="s">
        <v>153</v>
      </c>
      <c r="EL21" t="s">
        <v>159</v>
      </c>
      <c r="EM21" t="s">
        <v>153</v>
      </c>
      <c r="EN21" t="s">
        <v>159</v>
      </c>
      <c r="EO21" t="s">
        <v>153</v>
      </c>
      <c r="EP21" t="s">
        <v>153</v>
      </c>
      <c r="EQ21">
        <v>113</v>
      </c>
      <c r="ER21" t="s">
        <v>147</v>
      </c>
      <c r="ES21" t="s">
        <v>69</v>
      </c>
      <c r="ET21" t="s">
        <v>148</v>
      </c>
      <c r="EU21" t="s">
        <v>69</v>
      </c>
      <c r="EV21">
        <v>146.14599999999999</v>
      </c>
      <c r="EW21" t="s">
        <v>69</v>
      </c>
      <c r="EX21" t="s">
        <v>69</v>
      </c>
      <c r="EY21">
        <v>115</v>
      </c>
      <c r="EZ21" t="s">
        <v>147</v>
      </c>
      <c r="FA21" t="s">
        <v>153</v>
      </c>
      <c r="FB21" t="s">
        <v>148</v>
      </c>
      <c r="FC21" t="s">
        <v>153</v>
      </c>
      <c r="FD21">
        <v>146.14599999999999</v>
      </c>
      <c r="FE21" t="s">
        <v>69</v>
      </c>
      <c r="FF21" t="s">
        <v>69</v>
      </c>
      <c r="FG21">
        <v>116</v>
      </c>
      <c r="FH21" t="s">
        <v>72</v>
      </c>
      <c r="FI21" t="s">
        <v>153</v>
      </c>
      <c r="FJ21" t="s">
        <v>71</v>
      </c>
      <c r="FK21" t="s">
        <v>69</v>
      </c>
      <c r="FL21">
        <v>131.17500000000001</v>
      </c>
      <c r="FM21" t="s">
        <v>69</v>
      </c>
      <c r="FN21" t="s">
        <v>69</v>
      </c>
      <c r="FO21">
        <v>120</v>
      </c>
      <c r="FP21" t="s">
        <v>147</v>
      </c>
      <c r="FQ21" t="s">
        <v>153</v>
      </c>
      <c r="FR21" t="s">
        <v>148</v>
      </c>
      <c r="FS21" t="s">
        <v>153</v>
      </c>
      <c r="FT21">
        <v>146.14599999999999</v>
      </c>
      <c r="FU21" t="s">
        <v>69</v>
      </c>
      <c r="FV21" t="s">
        <v>69</v>
      </c>
    </row>
    <row r="22" spans="1:178" x14ac:dyDescent="0.25">
      <c r="A22">
        <v>7</v>
      </c>
      <c r="B22" t="str">
        <f>HYPERLINK("http://www.ncbi.nlm.nih.gov/protein/XP_017495583.2","XP_017495583.2")</f>
        <v>XP_017495583.2</v>
      </c>
      <c r="C22">
        <v>56064</v>
      </c>
      <c r="D22" t="str">
        <f>HYPERLINK("http://www.ncbi.nlm.nih.gov/Taxonomy/Browser/wwwtax.cgi?mode=Info&amp;id=9974&amp;lvl=3&amp;lin=f&amp;keep=1&amp;srchmode=1&amp;unlock","9974")</f>
        <v>9974</v>
      </c>
      <c r="E22" t="s">
        <v>66</v>
      </c>
      <c r="F22" t="str">
        <f>HYPERLINK("http://www.ncbi.nlm.nih.gov/Taxonomy/Browser/wwwtax.cgi?mode=Info&amp;id=9974&amp;lvl=3&amp;lin=f&amp;keep=1&amp;srchmode=1&amp;unlock","Manis javanica")</f>
        <v>Manis javanica</v>
      </c>
      <c r="G22" t="s">
        <v>100</v>
      </c>
      <c r="H22" t="str">
        <f>HYPERLINK("http://www.ncbi.nlm.nih.gov/protein/XP_017495583.2","bone marrow stromal antigen 2")</f>
        <v>bone marrow stromal antigen 2</v>
      </c>
      <c r="I22" t="s">
        <v>248</v>
      </c>
      <c r="J22" t="s">
        <v>153</v>
      </c>
      <c r="K22">
        <v>53</v>
      </c>
      <c r="L22" t="s">
        <v>73</v>
      </c>
      <c r="M22" t="s">
        <v>69</v>
      </c>
      <c r="N22" t="s">
        <v>71</v>
      </c>
      <c r="O22" t="s">
        <v>69</v>
      </c>
      <c r="P22">
        <v>89.093999999999994</v>
      </c>
      <c r="Q22" t="s">
        <v>69</v>
      </c>
      <c r="R22" t="s">
        <v>69</v>
      </c>
      <c r="S22">
        <v>54</v>
      </c>
      <c r="T22" t="s">
        <v>153</v>
      </c>
      <c r="U22" t="s">
        <v>69</v>
      </c>
      <c r="V22" t="s">
        <v>148</v>
      </c>
      <c r="W22" t="s">
        <v>69</v>
      </c>
      <c r="X22">
        <v>132.119</v>
      </c>
      <c r="Y22" t="s">
        <v>69</v>
      </c>
      <c r="Z22" t="s">
        <v>69</v>
      </c>
      <c r="AA22">
        <v>55</v>
      </c>
      <c r="AB22" t="s">
        <v>155</v>
      </c>
      <c r="AC22" t="s">
        <v>69</v>
      </c>
      <c r="AD22" t="s">
        <v>150</v>
      </c>
      <c r="AE22" t="s">
        <v>69</v>
      </c>
      <c r="AF22">
        <v>105.093</v>
      </c>
      <c r="AG22" t="s">
        <v>69</v>
      </c>
      <c r="AH22" t="s">
        <v>69</v>
      </c>
      <c r="AI22">
        <v>56</v>
      </c>
      <c r="AJ22" t="s">
        <v>119</v>
      </c>
      <c r="AK22" t="s">
        <v>69</v>
      </c>
      <c r="AL22" t="s">
        <v>120</v>
      </c>
      <c r="AM22" t="s">
        <v>69</v>
      </c>
      <c r="AN22">
        <v>147.131</v>
      </c>
      <c r="AO22" t="s">
        <v>69</v>
      </c>
      <c r="AP22" t="s">
        <v>69</v>
      </c>
      <c r="AQ22">
        <v>57</v>
      </c>
      <c r="AR22" t="s">
        <v>149</v>
      </c>
      <c r="AS22" t="s">
        <v>153</v>
      </c>
      <c r="AT22" t="s">
        <v>150</v>
      </c>
      <c r="AU22" t="s">
        <v>153</v>
      </c>
      <c r="AV22">
        <v>119.119</v>
      </c>
      <c r="AW22" t="s">
        <v>153</v>
      </c>
      <c r="AX22" t="s">
        <v>153</v>
      </c>
      <c r="AY22">
        <v>58</v>
      </c>
      <c r="AZ22" t="s">
        <v>249</v>
      </c>
      <c r="BA22" t="s">
        <v>69</v>
      </c>
      <c r="BB22" t="s">
        <v>117</v>
      </c>
      <c r="BC22" t="s">
        <v>69</v>
      </c>
      <c r="BD22">
        <v>121.154</v>
      </c>
      <c r="BE22" t="s">
        <v>69</v>
      </c>
      <c r="BF22" t="s">
        <v>69</v>
      </c>
      <c r="BG22">
        <v>89</v>
      </c>
      <c r="BH22" t="s">
        <v>145</v>
      </c>
      <c r="BI22" t="s">
        <v>153</v>
      </c>
      <c r="BJ22" t="s">
        <v>71</v>
      </c>
      <c r="BK22" t="s">
        <v>69</v>
      </c>
      <c r="BL22">
        <v>131.17500000000001</v>
      </c>
      <c r="BM22" t="s">
        <v>69</v>
      </c>
      <c r="BN22" t="s">
        <v>69</v>
      </c>
      <c r="BO22">
        <v>90</v>
      </c>
      <c r="BP22" t="s">
        <v>76</v>
      </c>
      <c r="BQ22" t="s">
        <v>153</v>
      </c>
      <c r="BR22" t="s">
        <v>75</v>
      </c>
      <c r="BS22" t="s">
        <v>153</v>
      </c>
      <c r="BT22">
        <v>146.18899999999999</v>
      </c>
      <c r="BU22" t="s">
        <v>69</v>
      </c>
      <c r="BV22" t="s">
        <v>69</v>
      </c>
      <c r="BW22">
        <v>92</v>
      </c>
      <c r="BX22" t="s">
        <v>147</v>
      </c>
      <c r="BY22" t="s">
        <v>69</v>
      </c>
      <c r="BZ22" t="s">
        <v>148</v>
      </c>
      <c r="CA22" t="s">
        <v>69</v>
      </c>
      <c r="CB22">
        <v>146.14599999999999</v>
      </c>
      <c r="CC22" t="s">
        <v>69</v>
      </c>
      <c r="CD22" t="s">
        <v>69</v>
      </c>
      <c r="CE22">
        <v>93</v>
      </c>
      <c r="CF22" t="s">
        <v>73</v>
      </c>
      <c r="CG22" t="s">
        <v>69</v>
      </c>
      <c r="CH22" t="s">
        <v>71</v>
      </c>
      <c r="CI22" t="s">
        <v>69</v>
      </c>
      <c r="CJ22">
        <v>89.093999999999994</v>
      </c>
      <c r="CK22" t="s">
        <v>69</v>
      </c>
      <c r="CL22" t="s">
        <v>69</v>
      </c>
      <c r="CM22">
        <v>94</v>
      </c>
      <c r="CN22" t="s">
        <v>73</v>
      </c>
      <c r="CO22" t="s">
        <v>69</v>
      </c>
      <c r="CP22" t="s">
        <v>71</v>
      </c>
      <c r="CQ22" t="s">
        <v>69</v>
      </c>
      <c r="CR22">
        <v>89.093999999999994</v>
      </c>
      <c r="CS22" t="s">
        <v>69</v>
      </c>
      <c r="CT22" t="s">
        <v>69</v>
      </c>
      <c r="CU22">
        <v>96</v>
      </c>
      <c r="CV22" t="s">
        <v>249</v>
      </c>
      <c r="CW22" t="s">
        <v>69</v>
      </c>
      <c r="CX22" t="s">
        <v>117</v>
      </c>
      <c r="CY22" t="s">
        <v>69</v>
      </c>
      <c r="CZ22">
        <v>121.154</v>
      </c>
      <c r="DA22" t="s">
        <v>69</v>
      </c>
      <c r="DB22" t="s">
        <v>69</v>
      </c>
      <c r="DC22">
        <v>97</v>
      </c>
      <c r="DD22" t="s">
        <v>153</v>
      </c>
      <c r="DE22" t="s">
        <v>69</v>
      </c>
      <c r="DF22" t="s">
        <v>148</v>
      </c>
      <c r="DG22" t="s">
        <v>69</v>
      </c>
      <c r="DH22">
        <v>132.119</v>
      </c>
      <c r="DI22" t="s">
        <v>69</v>
      </c>
      <c r="DJ22" t="s">
        <v>69</v>
      </c>
      <c r="DK22">
        <v>110</v>
      </c>
      <c r="DL22" t="s">
        <v>119</v>
      </c>
      <c r="DM22" t="s">
        <v>69</v>
      </c>
      <c r="DN22" t="s">
        <v>120</v>
      </c>
      <c r="DO22" t="s">
        <v>69</v>
      </c>
      <c r="DP22">
        <v>147.131</v>
      </c>
      <c r="DQ22" t="s">
        <v>69</v>
      </c>
      <c r="DR22" t="s">
        <v>69</v>
      </c>
      <c r="DS22">
        <v>111</v>
      </c>
      <c r="DT22" t="s">
        <v>76</v>
      </c>
      <c r="DU22" t="s">
        <v>69</v>
      </c>
      <c r="DV22" t="s">
        <v>75</v>
      </c>
      <c r="DW22" t="s">
        <v>69</v>
      </c>
      <c r="DX22">
        <v>146.18899999999999</v>
      </c>
      <c r="DY22" t="s">
        <v>69</v>
      </c>
      <c r="DZ22" t="s">
        <v>69</v>
      </c>
      <c r="EA22">
        <v>116</v>
      </c>
      <c r="EB22" t="s">
        <v>119</v>
      </c>
      <c r="EC22" t="s">
        <v>153</v>
      </c>
      <c r="ED22" t="s">
        <v>120</v>
      </c>
      <c r="EE22" t="s">
        <v>153</v>
      </c>
      <c r="EF22">
        <v>147.131</v>
      </c>
      <c r="EG22" t="s">
        <v>69</v>
      </c>
      <c r="EH22" t="s">
        <v>69</v>
      </c>
      <c r="EI22">
        <v>117</v>
      </c>
      <c r="EJ22" t="s">
        <v>76</v>
      </c>
      <c r="EK22" t="s">
        <v>153</v>
      </c>
      <c r="EL22" t="s">
        <v>75</v>
      </c>
      <c r="EM22" t="s">
        <v>153</v>
      </c>
      <c r="EN22">
        <v>146.18899999999999</v>
      </c>
      <c r="EO22" t="s">
        <v>153</v>
      </c>
      <c r="EP22" t="s">
        <v>153</v>
      </c>
      <c r="EQ22">
        <v>118</v>
      </c>
      <c r="ER22" t="s">
        <v>147</v>
      </c>
      <c r="ES22" t="s">
        <v>69</v>
      </c>
      <c r="ET22" t="s">
        <v>148</v>
      </c>
      <c r="EU22" t="s">
        <v>69</v>
      </c>
      <c r="EV22">
        <v>146.14599999999999</v>
      </c>
      <c r="EW22" t="s">
        <v>69</v>
      </c>
      <c r="EX22" t="s">
        <v>69</v>
      </c>
      <c r="EY22">
        <v>120</v>
      </c>
      <c r="EZ22" t="s">
        <v>147</v>
      </c>
      <c r="FA22" t="s">
        <v>153</v>
      </c>
      <c r="FB22" t="s">
        <v>148</v>
      </c>
      <c r="FC22" t="s">
        <v>153</v>
      </c>
      <c r="FD22">
        <v>146.14599999999999</v>
      </c>
      <c r="FE22" t="s">
        <v>69</v>
      </c>
      <c r="FF22" t="s">
        <v>69</v>
      </c>
      <c r="FG22">
        <v>121</v>
      </c>
      <c r="FH22" t="s">
        <v>115</v>
      </c>
      <c r="FI22" t="s">
        <v>69</v>
      </c>
      <c r="FJ22" t="s">
        <v>71</v>
      </c>
      <c r="FK22" t="s">
        <v>69</v>
      </c>
      <c r="FL22">
        <v>117.148</v>
      </c>
      <c r="FM22" t="s">
        <v>69</v>
      </c>
      <c r="FN22" t="s">
        <v>69</v>
      </c>
      <c r="FO22">
        <v>125</v>
      </c>
      <c r="FP22" t="s">
        <v>147</v>
      </c>
      <c r="FQ22" t="s">
        <v>153</v>
      </c>
      <c r="FR22" t="s">
        <v>148</v>
      </c>
      <c r="FS22" t="s">
        <v>153</v>
      </c>
      <c r="FT22">
        <v>146.14599999999999</v>
      </c>
      <c r="FU22" t="s">
        <v>69</v>
      </c>
      <c r="FV22" t="s">
        <v>69</v>
      </c>
    </row>
    <row r="23" spans="1:178" x14ac:dyDescent="0.25">
      <c r="A23">
        <v>7</v>
      </c>
      <c r="B23" t="str">
        <f>HYPERLINK("http://www.ncbi.nlm.nih.gov/protein/XP_002688623.4","XP_002688623.4")</f>
        <v>XP_002688623.4</v>
      </c>
      <c r="C23">
        <v>136186</v>
      </c>
      <c r="D23" t="str">
        <f>HYPERLINK("http://www.ncbi.nlm.nih.gov/Taxonomy/Browser/wwwtax.cgi?mode=Info&amp;id=9913&amp;lvl=3&amp;lin=f&amp;keep=1&amp;srchmode=1&amp;unlock","9913")</f>
        <v>9913</v>
      </c>
      <c r="E23" t="s">
        <v>66</v>
      </c>
      <c r="F23" t="str">
        <f>HYPERLINK("http://www.ncbi.nlm.nih.gov/Taxonomy/Browser/wwwtax.cgi?mode=Info&amp;id=9913&amp;lvl=3&amp;lin=f&amp;keep=1&amp;srchmode=1&amp;unlock","Bos taurus")</f>
        <v>Bos taurus</v>
      </c>
      <c r="G23" t="s">
        <v>82</v>
      </c>
      <c r="H23" t="str">
        <f>HYPERLINK("http://www.ncbi.nlm.nih.gov/protein/XP_002688623.4","bone marrow stromal antigen 2")</f>
        <v>bone marrow stromal antigen 2</v>
      </c>
      <c r="I23" t="s">
        <v>248</v>
      </c>
      <c r="J23" t="s">
        <v>153</v>
      </c>
      <c r="K23">
        <v>57</v>
      </c>
      <c r="L23" t="s">
        <v>73</v>
      </c>
      <c r="M23" t="s">
        <v>69</v>
      </c>
      <c r="N23" t="s">
        <v>71</v>
      </c>
      <c r="O23" t="s">
        <v>69</v>
      </c>
      <c r="P23">
        <v>89.093999999999994</v>
      </c>
      <c r="Q23" t="s">
        <v>69</v>
      </c>
      <c r="R23" t="s">
        <v>69</v>
      </c>
      <c r="S23">
        <v>58</v>
      </c>
      <c r="T23" t="s">
        <v>153</v>
      </c>
      <c r="U23" t="s">
        <v>69</v>
      </c>
      <c r="V23" t="s">
        <v>148</v>
      </c>
      <c r="W23" t="s">
        <v>69</v>
      </c>
      <c r="X23">
        <v>132.119</v>
      </c>
      <c r="Y23" t="s">
        <v>69</v>
      </c>
      <c r="Z23" t="s">
        <v>69</v>
      </c>
      <c r="AA23">
        <v>59</v>
      </c>
      <c r="AB23" t="s">
        <v>155</v>
      </c>
      <c r="AC23" t="s">
        <v>69</v>
      </c>
      <c r="AD23" t="s">
        <v>150</v>
      </c>
      <c r="AE23" t="s">
        <v>69</v>
      </c>
      <c r="AF23">
        <v>105.093</v>
      </c>
      <c r="AG23" t="s">
        <v>69</v>
      </c>
      <c r="AH23" t="s">
        <v>69</v>
      </c>
      <c r="AI23">
        <v>60</v>
      </c>
      <c r="AJ23" t="s">
        <v>76</v>
      </c>
      <c r="AK23" t="s">
        <v>153</v>
      </c>
      <c r="AL23" t="s">
        <v>75</v>
      </c>
      <c r="AM23" t="s">
        <v>153</v>
      </c>
      <c r="AN23">
        <v>146.18899999999999</v>
      </c>
      <c r="AO23" t="s">
        <v>69</v>
      </c>
      <c r="AP23" t="s">
        <v>69</v>
      </c>
      <c r="AQ23">
        <v>61</v>
      </c>
      <c r="AR23" t="s">
        <v>73</v>
      </c>
      <c r="AS23" t="s">
        <v>69</v>
      </c>
      <c r="AT23" t="s">
        <v>71</v>
      </c>
      <c r="AU23" t="s">
        <v>69</v>
      </c>
      <c r="AV23">
        <v>89.093999999999994</v>
      </c>
      <c r="AW23" t="s">
        <v>69</v>
      </c>
      <c r="AX23" t="s">
        <v>69</v>
      </c>
      <c r="AY23">
        <v>62</v>
      </c>
      <c r="AZ23" t="s">
        <v>249</v>
      </c>
      <c r="BA23" t="s">
        <v>69</v>
      </c>
      <c r="BB23" t="s">
        <v>117</v>
      </c>
      <c r="BC23" t="s">
        <v>69</v>
      </c>
      <c r="BD23">
        <v>121.154</v>
      </c>
      <c r="BE23" t="s">
        <v>69</v>
      </c>
      <c r="BF23" t="s">
        <v>69</v>
      </c>
      <c r="BG23">
        <v>93</v>
      </c>
      <c r="BH23" t="s">
        <v>76</v>
      </c>
      <c r="BI23" t="s">
        <v>153</v>
      </c>
      <c r="BJ23" t="s">
        <v>75</v>
      </c>
      <c r="BK23" t="s">
        <v>153</v>
      </c>
      <c r="BL23">
        <v>146.18899999999999</v>
      </c>
      <c r="BM23" t="s">
        <v>69</v>
      </c>
      <c r="BN23" t="s">
        <v>69</v>
      </c>
      <c r="BO23">
        <v>94</v>
      </c>
      <c r="BP23" t="s">
        <v>119</v>
      </c>
      <c r="BQ23" t="s">
        <v>69</v>
      </c>
      <c r="BR23" t="s">
        <v>120</v>
      </c>
      <c r="BS23" t="s">
        <v>69</v>
      </c>
      <c r="BT23">
        <v>147.131</v>
      </c>
      <c r="BU23" t="s">
        <v>69</v>
      </c>
      <c r="BV23" t="s">
        <v>69</v>
      </c>
      <c r="BW23">
        <v>96</v>
      </c>
      <c r="BX23" t="s">
        <v>119</v>
      </c>
      <c r="BY23" t="s">
        <v>153</v>
      </c>
      <c r="BZ23" t="s">
        <v>120</v>
      </c>
      <c r="CA23" t="s">
        <v>153</v>
      </c>
      <c r="CB23">
        <v>147.131</v>
      </c>
      <c r="CC23" t="s">
        <v>69</v>
      </c>
      <c r="CD23" t="s">
        <v>69</v>
      </c>
      <c r="CE23">
        <v>97</v>
      </c>
      <c r="CF23" t="s">
        <v>73</v>
      </c>
      <c r="CG23" t="s">
        <v>69</v>
      </c>
      <c r="CH23" t="s">
        <v>71</v>
      </c>
      <c r="CI23" t="s">
        <v>69</v>
      </c>
      <c r="CJ23">
        <v>89.093999999999994</v>
      </c>
      <c r="CK23" t="s">
        <v>69</v>
      </c>
      <c r="CL23" t="s">
        <v>69</v>
      </c>
      <c r="CM23">
        <v>98</v>
      </c>
      <c r="CN23" t="s">
        <v>73</v>
      </c>
      <c r="CO23" t="s">
        <v>69</v>
      </c>
      <c r="CP23" t="s">
        <v>71</v>
      </c>
      <c r="CQ23" t="s">
        <v>69</v>
      </c>
      <c r="CR23">
        <v>89.093999999999994</v>
      </c>
      <c r="CS23" t="s">
        <v>69</v>
      </c>
      <c r="CT23" t="s">
        <v>69</v>
      </c>
      <c r="CU23">
        <v>100</v>
      </c>
      <c r="CV23" t="s">
        <v>249</v>
      </c>
      <c r="CW23" t="s">
        <v>69</v>
      </c>
      <c r="CX23" t="s">
        <v>117</v>
      </c>
      <c r="CY23" t="s">
        <v>69</v>
      </c>
      <c r="CZ23">
        <v>121.154</v>
      </c>
      <c r="DA23" t="s">
        <v>69</v>
      </c>
      <c r="DB23" t="s">
        <v>69</v>
      </c>
      <c r="DC23">
        <v>101</v>
      </c>
      <c r="DD23" t="s">
        <v>153</v>
      </c>
      <c r="DE23" t="s">
        <v>69</v>
      </c>
      <c r="DF23" t="s">
        <v>148</v>
      </c>
      <c r="DG23" t="s">
        <v>69</v>
      </c>
      <c r="DH23">
        <v>132.119</v>
      </c>
      <c r="DI23" t="s">
        <v>69</v>
      </c>
      <c r="DJ23" t="s">
        <v>69</v>
      </c>
      <c r="DK23">
        <v>114</v>
      </c>
      <c r="DL23" t="s">
        <v>119</v>
      </c>
      <c r="DM23" t="s">
        <v>69</v>
      </c>
      <c r="DN23" t="s">
        <v>120</v>
      </c>
      <c r="DO23" t="s">
        <v>69</v>
      </c>
      <c r="DP23">
        <v>147.131</v>
      </c>
      <c r="DQ23" t="s">
        <v>69</v>
      </c>
      <c r="DR23" t="s">
        <v>69</v>
      </c>
      <c r="DS23">
        <v>115</v>
      </c>
      <c r="DT23" t="s">
        <v>147</v>
      </c>
      <c r="DU23" t="s">
        <v>153</v>
      </c>
      <c r="DV23" t="s">
        <v>148</v>
      </c>
      <c r="DW23" t="s">
        <v>153</v>
      </c>
      <c r="DX23">
        <v>146.14599999999999</v>
      </c>
      <c r="DY23" t="s">
        <v>69</v>
      </c>
      <c r="DZ23" t="s">
        <v>69</v>
      </c>
      <c r="EA23" t="s">
        <v>159</v>
      </c>
      <c r="EB23" t="s">
        <v>159</v>
      </c>
      <c r="EC23" t="s">
        <v>153</v>
      </c>
      <c r="ED23" t="s">
        <v>159</v>
      </c>
      <c r="EE23" t="s">
        <v>153</v>
      </c>
      <c r="EF23" t="s">
        <v>159</v>
      </c>
      <c r="EG23" t="s">
        <v>153</v>
      </c>
      <c r="EH23" t="s">
        <v>153</v>
      </c>
      <c r="EI23" t="s">
        <v>159</v>
      </c>
      <c r="EJ23" t="s">
        <v>159</v>
      </c>
      <c r="EK23" t="s">
        <v>153</v>
      </c>
      <c r="EL23" t="s">
        <v>159</v>
      </c>
      <c r="EM23" t="s">
        <v>153</v>
      </c>
      <c r="EN23" t="s">
        <v>159</v>
      </c>
      <c r="EO23" t="s">
        <v>153</v>
      </c>
      <c r="EP23" t="s">
        <v>153</v>
      </c>
      <c r="EQ23" t="s">
        <v>159</v>
      </c>
      <c r="ER23" t="s">
        <v>159</v>
      </c>
      <c r="ES23" t="s">
        <v>153</v>
      </c>
      <c r="ET23" t="s">
        <v>159</v>
      </c>
      <c r="EU23" t="s">
        <v>153</v>
      </c>
      <c r="EV23" t="s">
        <v>159</v>
      </c>
      <c r="EW23" t="s">
        <v>153</v>
      </c>
      <c r="EX23" t="s">
        <v>153</v>
      </c>
      <c r="EY23">
        <v>117</v>
      </c>
      <c r="EZ23" t="s">
        <v>147</v>
      </c>
      <c r="FA23" t="s">
        <v>153</v>
      </c>
      <c r="FB23" t="s">
        <v>148</v>
      </c>
      <c r="FC23" t="s">
        <v>153</v>
      </c>
      <c r="FD23">
        <v>146.14599999999999</v>
      </c>
      <c r="FE23" t="s">
        <v>69</v>
      </c>
      <c r="FF23" t="s">
        <v>69</v>
      </c>
      <c r="FG23">
        <v>118</v>
      </c>
      <c r="FH23" t="s">
        <v>115</v>
      </c>
      <c r="FI23" t="s">
        <v>69</v>
      </c>
      <c r="FJ23" t="s">
        <v>71</v>
      </c>
      <c r="FK23" t="s">
        <v>69</v>
      </c>
      <c r="FL23">
        <v>117.148</v>
      </c>
      <c r="FM23" t="s">
        <v>69</v>
      </c>
      <c r="FN23" t="s">
        <v>69</v>
      </c>
      <c r="FO23">
        <v>122</v>
      </c>
      <c r="FP23" t="s">
        <v>147</v>
      </c>
      <c r="FQ23" t="s">
        <v>153</v>
      </c>
      <c r="FR23" t="s">
        <v>148</v>
      </c>
      <c r="FS23" t="s">
        <v>153</v>
      </c>
      <c r="FT23">
        <v>146.14599999999999</v>
      </c>
      <c r="FU23" t="s">
        <v>69</v>
      </c>
      <c r="FV23" t="s">
        <v>69</v>
      </c>
    </row>
    <row r="24" spans="1:178" x14ac:dyDescent="0.25">
      <c r="A24">
        <v>7</v>
      </c>
      <c r="B24" t="str">
        <f>HYPERLINK("http://www.ncbi.nlm.nih.gov/protein/XP_044109896.1","XP_044109896.1")</f>
        <v>XP_044109896.1</v>
      </c>
      <c r="C24">
        <v>44640</v>
      </c>
      <c r="D24" t="str">
        <f>HYPERLINK("http://www.ncbi.nlm.nih.gov/Taxonomy/Browser/wwwtax.cgi?mode=Info&amp;id=452646&amp;lvl=3&amp;lin=f&amp;keep=1&amp;srchmode=1&amp;unlock","452646")</f>
        <v>452646</v>
      </c>
      <c r="E24" t="s">
        <v>66</v>
      </c>
      <c r="F24" t="str">
        <f>HYPERLINK("http://www.ncbi.nlm.nih.gov/Taxonomy/Browser/wwwtax.cgi?mode=Info&amp;id=452646&amp;lvl=3&amp;lin=f&amp;keep=1&amp;srchmode=1&amp;unlock","Neogale vison")</f>
        <v>Neogale vison</v>
      </c>
      <c r="G24" t="s">
        <v>96</v>
      </c>
      <c r="H24" t="str">
        <f>HYPERLINK("http://www.ncbi.nlm.nih.gov/protein/XP_044109896.1","bone marrow stromal antigen 2")</f>
        <v>bone marrow stromal antigen 2</v>
      </c>
      <c r="I24" t="s">
        <v>248</v>
      </c>
      <c r="J24" t="s">
        <v>153</v>
      </c>
      <c r="K24">
        <v>104</v>
      </c>
      <c r="L24" t="s">
        <v>73</v>
      </c>
      <c r="M24" t="s">
        <v>69</v>
      </c>
      <c r="N24" t="s">
        <v>71</v>
      </c>
      <c r="O24" t="s">
        <v>69</v>
      </c>
      <c r="P24">
        <v>89.093999999999994</v>
      </c>
      <c r="Q24" t="s">
        <v>69</v>
      </c>
      <c r="R24" t="s">
        <v>69</v>
      </c>
      <c r="S24">
        <v>105</v>
      </c>
      <c r="T24" t="s">
        <v>153</v>
      </c>
      <c r="U24" t="s">
        <v>69</v>
      </c>
      <c r="V24" t="s">
        <v>148</v>
      </c>
      <c r="W24" t="s">
        <v>69</v>
      </c>
      <c r="X24">
        <v>132.119</v>
      </c>
      <c r="Y24" t="s">
        <v>69</v>
      </c>
      <c r="Z24" t="s">
        <v>69</v>
      </c>
      <c r="AA24">
        <v>106</v>
      </c>
      <c r="AB24" t="s">
        <v>155</v>
      </c>
      <c r="AC24" t="s">
        <v>69</v>
      </c>
      <c r="AD24" t="s">
        <v>150</v>
      </c>
      <c r="AE24" t="s">
        <v>69</v>
      </c>
      <c r="AF24">
        <v>105.093</v>
      </c>
      <c r="AG24" t="s">
        <v>69</v>
      </c>
      <c r="AH24" t="s">
        <v>69</v>
      </c>
      <c r="AI24">
        <v>107</v>
      </c>
      <c r="AJ24" t="s">
        <v>76</v>
      </c>
      <c r="AK24" t="s">
        <v>153</v>
      </c>
      <c r="AL24" t="s">
        <v>75</v>
      </c>
      <c r="AM24" t="s">
        <v>153</v>
      </c>
      <c r="AN24">
        <v>146.18899999999999</v>
      </c>
      <c r="AO24" t="s">
        <v>69</v>
      </c>
      <c r="AP24" t="s">
        <v>69</v>
      </c>
      <c r="AQ24">
        <v>108</v>
      </c>
      <c r="AR24" t="s">
        <v>73</v>
      </c>
      <c r="AS24" t="s">
        <v>69</v>
      </c>
      <c r="AT24" t="s">
        <v>71</v>
      </c>
      <c r="AU24" t="s">
        <v>69</v>
      </c>
      <c r="AV24">
        <v>89.093999999999994</v>
      </c>
      <c r="AW24" t="s">
        <v>69</v>
      </c>
      <c r="AX24" t="s">
        <v>69</v>
      </c>
      <c r="AY24">
        <v>109</v>
      </c>
      <c r="AZ24" t="s">
        <v>249</v>
      </c>
      <c r="BA24" t="s">
        <v>69</v>
      </c>
      <c r="BB24" t="s">
        <v>117</v>
      </c>
      <c r="BC24" t="s">
        <v>69</v>
      </c>
      <c r="BD24">
        <v>121.154</v>
      </c>
      <c r="BE24" t="s">
        <v>69</v>
      </c>
      <c r="BF24" t="s">
        <v>69</v>
      </c>
      <c r="BG24">
        <v>140</v>
      </c>
      <c r="BH24" t="s">
        <v>73</v>
      </c>
      <c r="BI24" t="s">
        <v>153</v>
      </c>
      <c r="BJ24" t="s">
        <v>71</v>
      </c>
      <c r="BK24" t="s">
        <v>69</v>
      </c>
      <c r="BL24">
        <v>89.093999999999994</v>
      </c>
      <c r="BM24" t="s">
        <v>69</v>
      </c>
      <c r="BN24" t="s">
        <v>69</v>
      </c>
      <c r="BO24">
        <v>141</v>
      </c>
      <c r="BP24" t="s">
        <v>76</v>
      </c>
      <c r="BQ24" t="s">
        <v>153</v>
      </c>
      <c r="BR24" t="s">
        <v>75</v>
      </c>
      <c r="BS24" t="s">
        <v>153</v>
      </c>
      <c r="BT24">
        <v>146.18899999999999</v>
      </c>
      <c r="BU24" t="s">
        <v>69</v>
      </c>
      <c r="BV24" t="s">
        <v>69</v>
      </c>
      <c r="BW24">
        <v>143</v>
      </c>
      <c r="BX24" t="s">
        <v>119</v>
      </c>
      <c r="BY24" t="s">
        <v>153</v>
      </c>
      <c r="BZ24" t="s">
        <v>120</v>
      </c>
      <c r="CA24" t="s">
        <v>153</v>
      </c>
      <c r="CB24">
        <v>147.131</v>
      </c>
      <c r="CC24" t="s">
        <v>69</v>
      </c>
      <c r="CD24" t="s">
        <v>69</v>
      </c>
      <c r="CE24">
        <v>144</v>
      </c>
      <c r="CF24" t="s">
        <v>73</v>
      </c>
      <c r="CG24" t="s">
        <v>69</v>
      </c>
      <c r="CH24" t="s">
        <v>71</v>
      </c>
      <c r="CI24" t="s">
        <v>69</v>
      </c>
      <c r="CJ24">
        <v>89.093999999999994</v>
      </c>
      <c r="CK24" t="s">
        <v>69</v>
      </c>
      <c r="CL24" t="s">
        <v>69</v>
      </c>
      <c r="CM24">
        <v>145</v>
      </c>
      <c r="CN24" t="s">
        <v>73</v>
      </c>
      <c r="CO24" t="s">
        <v>69</v>
      </c>
      <c r="CP24" t="s">
        <v>71</v>
      </c>
      <c r="CQ24" t="s">
        <v>69</v>
      </c>
      <c r="CR24">
        <v>89.093999999999994</v>
      </c>
      <c r="CS24" t="s">
        <v>69</v>
      </c>
      <c r="CT24" t="s">
        <v>69</v>
      </c>
      <c r="CU24">
        <v>147</v>
      </c>
      <c r="CV24" t="s">
        <v>249</v>
      </c>
      <c r="CW24" t="s">
        <v>69</v>
      </c>
      <c r="CX24" t="s">
        <v>117</v>
      </c>
      <c r="CY24" t="s">
        <v>69</v>
      </c>
      <c r="CZ24">
        <v>121.154</v>
      </c>
      <c r="DA24" t="s">
        <v>69</v>
      </c>
      <c r="DB24" t="s">
        <v>69</v>
      </c>
      <c r="DC24">
        <v>148</v>
      </c>
      <c r="DD24" t="s">
        <v>153</v>
      </c>
      <c r="DE24" t="s">
        <v>69</v>
      </c>
      <c r="DF24" t="s">
        <v>148</v>
      </c>
      <c r="DG24" t="s">
        <v>69</v>
      </c>
      <c r="DH24">
        <v>132.119</v>
      </c>
      <c r="DI24" t="s">
        <v>69</v>
      </c>
      <c r="DJ24" t="s">
        <v>69</v>
      </c>
      <c r="DK24">
        <v>161</v>
      </c>
      <c r="DL24" t="s">
        <v>119</v>
      </c>
      <c r="DM24" t="s">
        <v>69</v>
      </c>
      <c r="DN24" t="s">
        <v>120</v>
      </c>
      <c r="DO24" t="s">
        <v>69</v>
      </c>
      <c r="DP24">
        <v>147.131</v>
      </c>
      <c r="DQ24" t="s">
        <v>69</v>
      </c>
      <c r="DR24" t="s">
        <v>69</v>
      </c>
      <c r="DS24">
        <v>162</v>
      </c>
      <c r="DT24" t="s">
        <v>76</v>
      </c>
      <c r="DU24" t="s">
        <v>69</v>
      </c>
      <c r="DV24" t="s">
        <v>75</v>
      </c>
      <c r="DW24" t="s">
        <v>69</v>
      </c>
      <c r="DX24">
        <v>146.18899999999999</v>
      </c>
      <c r="DY24" t="s">
        <v>69</v>
      </c>
      <c r="DZ24" t="s">
        <v>69</v>
      </c>
      <c r="EA24">
        <v>167</v>
      </c>
      <c r="EB24" t="s">
        <v>119</v>
      </c>
      <c r="EC24" t="s">
        <v>153</v>
      </c>
      <c r="ED24" t="s">
        <v>120</v>
      </c>
      <c r="EE24" t="s">
        <v>153</v>
      </c>
      <c r="EF24">
        <v>147.131</v>
      </c>
      <c r="EG24" t="s">
        <v>69</v>
      </c>
      <c r="EH24" t="s">
        <v>69</v>
      </c>
      <c r="EI24">
        <v>168</v>
      </c>
      <c r="EJ24" t="s">
        <v>147</v>
      </c>
      <c r="EK24" t="s">
        <v>153</v>
      </c>
      <c r="EL24" t="s">
        <v>148</v>
      </c>
      <c r="EM24" t="s">
        <v>153</v>
      </c>
      <c r="EN24">
        <v>146.14599999999999</v>
      </c>
      <c r="EO24" t="s">
        <v>153</v>
      </c>
      <c r="EP24" t="s">
        <v>153</v>
      </c>
      <c r="EQ24">
        <v>169</v>
      </c>
      <c r="ER24" t="s">
        <v>72</v>
      </c>
      <c r="ES24" t="s">
        <v>153</v>
      </c>
      <c r="ET24" t="s">
        <v>71</v>
      </c>
      <c r="EU24" t="s">
        <v>153</v>
      </c>
      <c r="EV24">
        <v>131.17500000000001</v>
      </c>
      <c r="EW24" t="s">
        <v>69</v>
      </c>
      <c r="EX24" t="s">
        <v>69</v>
      </c>
      <c r="EY24">
        <v>171</v>
      </c>
      <c r="EZ24" t="s">
        <v>74</v>
      </c>
      <c r="FA24" t="s">
        <v>153</v>
      </c>
      <c r="FB24" t="s">
        <v>75</v>
      </c>
      <c r="FC24" t="s">
        <v>69</v>
      </c>
      <c r="FD24">
        <v>174.203</v>
      </c>
      <c r="FE24" t="s">
        <v>69</v>
      </c>
      <c r="FF24" t="s">
        <v>69</v>
      </c>
      <c r="FG24">
        <v>172</v>
      </c>
      <c r="FH24" t="s">
        <v>74</v>
      </c>
      <c r="FI24" t="s">
        <v>153</v>
      </c>
      <c r="FJ24" t="s">
        <v>75</v>
      </c>
      <c r="FK24" t="s">
        <v>153</v>
      </c>
      <c r="FL24">
        <v>174.203</v>
      </c>
      <c r="FM24" t="s">
        <v>153</v>
      </c>
      <c r="FN24" t="s">
        <v>153</v>
      </c>
      <c r="FO24">
        <v>176</v>
      </c>
      <c r="FP24" t="s">
        <v>147</v>
      </c>
      <c r="FQ24" t="s">
        <v>153</v>
      </c>
      <c r="FR24" t="s">
        <v>148</v>
      </c>
      <c r="FS24" t="s">
        <v>153</v>
      </c>
      <c r="FT24">
        <v>146.14599999999999</v>
      </c>
      <c r="FU24" t="s">
        <v>69</v>
      </c>
      <c r="FV24" t="s">
        <v>69</v>
      </c>
    </row>
    <row r="25" spans="1:178" x14ac:dyDescent="0.25">
      <c r="A25">
        <v>7</v>
      </c>
      <c r="B25" t="str">
        <f>HYPERLINK("http://www.ncbi.nlm.nih.gov/protein/XP_045845831.1","XP_045845831.1")</f>
        <v>XP_045845831.1</v>
      </c>
      <c r="C25">
        <v>50752</v>
      </c>
      <c r="D25" t="str">
        <f>HYPERLINK("http://www.ncbi.nlm.nih.gov/Taxonomy/Browser/wwwtax.cgi?mode=Info&amp;id=9662&amp;lvl=3&amp;lin=f&amp;keep=1&amp;srchmode=1&amp;unlock","9662")</f>
        <v>9662</v>
      </c>
      <c r="E25" t="s">
        <v>66</v>
      </c>
      <c r="F25" t="str">
        <f>HYPERLINK("http://www.ncbi.nlm.nih.gov/Taxonomy/Browser/wwwtax.cgi?mode=Info&amp;id=9662&amp;lvl=3&amp;lin=f&amp;keep=1&amp;srchmode=1&amp;unlock","Meles meles")</f>
        <v>Meles meles</v>
      </c>
      <c r="G25" t="s">
        <v>99</v>
      </c>
      <c r="H25" t="str">
        <f>HYPERLINK("http://www.ncbi.nlm.nih.gov/protein/XP_045845831.1","bone marrow stromal antigen 2")</f>
        <v>bone marrow stromal antigen 2</v>
      </c>
      <c r="I25" t="s">
        <v>248</v>
      </c>
      <c r="J25" t="s">
        <v>153</v>
      </c>
      <c r="K25">
        <v>53</v>
      </c>
      <c r="L25" t="s">
        <v>73</v>
      </c>
      <c r="M25" t="s">
        <v>69</v>
      </c>
      <c r="N25" t="s">
        <v>71</v>
      </c>
      <c r="O25" t="s">
        <v>69</v>
      </c>
      <c r="P25">
        <v>89.093999999999994</v>
      </c>
      <c r="Q25" t="s">
        <v>69</v>
      </c>
      <c r="R25" t="s">
        <v>69</v>
      </c>
      <c r="S25">
        <v>54</v>
      </c>
      <c r="T25" t="s">
        <v>153</v>
      </c>
      <c r="U25" t="s">
        <v>69</v>
      </c>
      <c r="V25" t="s">
        <v>148</v>
      </c>
      <c r="W25" t="s">
        <v>69</v>
      </c>
      <c r="X25">
        <v>132.119</v>
      </c>
      <c r="Y25" t="s">
        <v>69</v>
      </c>
      <c r="Z25" t="s">
        <v>69</v>
      </c>
      <c r="AA25">
        <v>55</v>
      </c>
      <c r="AB25" t="s">
        <v>155</v>
      </c>
      <c r="AC25" t="s">
        <v>69</v>
      </c>
      <c r="AD25" t="s">
        <v>150</v>
      </c>
      <c r="AE25" t="s">
        <v>69</v>
      </c>
      <c r="AF25">
        <v>105.093</v>
      </c>
      <c r="AG25" t="s">
        <v>69</v>
      </c>
      <c r="AH25" t="s">
        <v>69</v>
      </c>
      <c r="AI25">
        <v>56</v>
      </c>
      <c r="AJ25" t="s">
        <v>76</v>
      </c>
      <c r="AK25" t="s">
        <v>153</v>
      </c>
      <c r="AL25" t="s">
        <v>75</v>
      </c>
      <c r="AM25" t="s">
        <v>153</v>
      </c>
      <c r="AN25">
        <v>146.18899999999999</v>
      </c>
      <c r="AO25" t="s">
        <v>69</v>
      </c>
      <c r="AP25" t="s">
        <v>69</v>
      </c>
      <c r="AQ25">
        <v>57</v>
      </c>
      <c r="AR25" t="s">
        <v>73</v>
      </c>
      <c r="AS25" t="s">
        <v>69</v>
      </c>
      <c r="AT25" t="s">
        <v>71</v>
      </c>
      <c r="AU25" t="s">
        <v>69</v>
      </c>
      <c r="AV25">
        <v>89.093999999999994</v>
      </c>
      <c r="AW25" t="s">
        <v>69</v>
      </c>
      <c r="AX25" t="s">
        <v>69</v>
      </c>
      <c r="AY25">
        <v>58</v>
      </c>
      <c r="AZ25" t="s">
        <v>249</v>
      </c>
      <c r="BA25" t="s">
        <v>69</v>
      </c>
      <c r="BB25" t="s">
        <v>117</v>
      </c>
      <c r="BC25" t="s">
        <v>69</v>
      </c>
      <c r="BD25">
        <v>121.154</v>
      </c>
      <c r="BE25" t="s">
        <v>69</v>
      </c>
      <c r="BF25" t="s">
        <v>69</v>
      </c>
      <c r="BG25">
        <v>89</v>
      </c>
      <c r="BH25" t="s">
        <v>73</v>
      </c>
      <c r="BI25" t="s">
        <v>153</v>
      </c>
      <c r="BJ25" t="s">
        <v>71</v>
      </c>
      <c r="BK25" t="s">
        <v>69</v>
      </c>
      <c r="BL25">
        <v>89.093999999999994</v>
      </c>
      <c r="BM25" t="s">
        <v>69</v>
      </c>
      <c r="BN25" t="s">
        <v>69</v>
      </c>
      <c r="BO25">
        <v>90</v>
      </c>
      <c r="BP25" t="s">
        <v>116</v>
      </c>
      <c r="BQ25" t="s">
        <v>153</v>
      </c>
      <c r="BR25" t="s">
        <v>117</v>
      </c>
      <c r="BS25" t="s">
        <v>153</v>
      </c>
      <c r="BT25">
        <v>149.208</v>
      </c>
      <c r="BU25" t="s">
        <v>69</v>
      </c>
      <c r="BV25" t="s">
        <v>69</v>
      </c>
      <c r="BW25">
        <v>92</v>
      </c>
      <c r="BX25" t="s">
        <v>119</v>
      </c>
      <c r="BY25" t="s">
        <v>153</v>
      </c>
      <c r="BZ25" t="s">
        <v>120</v>
      </c>
      <c r="CA25" t="s">
        <v>153</v>
      </c>
      <c r="CB25">
        <v>147.131</v>
      </c>
      <c r="CC25" t="s">
        <v>69</v>
      </c>
      <c r="CD25" t="s">
        <v>69</v>
      </c>
      <c r="CE25">
        <v>93</v>
      </c>
      <c r="CF25" t="s">
        <v>73</v>
      </c>
      <c r="CG25" t="s">
        <v>69</v>
      </c>
      <c r="CH25" t="s">
        <v>71</v>
      </c>
      <c r="CI25" t="s">
        <v>69</v>
      </c>
      <c r="CJ25">
        <v>89.093999999999994</v>
      </c>
      <c r="CK25" t="s">
        <v>69</v>
      </c>
      <c r="CL25" t="s">
        <v>69</v>
      </c>
      <c r="CM25">
        <v>94</v>
      </c>
      <c r="CN25" t="s">
        <v>73</v>
      </c>
      <c r="CO25" t="s">
        <v>69</v>
      </c>
      <c r="CP25" t="s">
        <v>71</v>
      </c>
      <c r="CQ25" t="s">
        <v>69</v>
      </c>
      <c r="CR25">
        <v>89.093999999999994</v>
      </c>
      <c r="CS25" t="s">
        <v>69</v>
      </c>
      <c r="CT25" t="s">
        <v>69</v>
      </c>
      <c r="CU25">
        <v>96</v>
      </c>
      <c r="CV25" t="s">
        <v>249</v>
      </c>
      <c r="CW25" t="s">
        <v>69</v>
      </c>
      <c r="CX25" t="s">
        <v>117</v>
      </c>
      <c r="CY25" t="s">
        <v>69</v>
      </c>
      <c r="CZ25">
        <v>121.154</v>
      </c>
      <c r="DA25" t="s">
        <v>69</v>
      </c>
      <c r="DB25" t="s">
        <v>69</v>
      </c>
      <c r="DC25">
        <v>97</v>
      </c>
      <c r="DD25" t="s">
        <v>153</v>
      </c>
      <c r="DE25" t="s">
        <v>69</v>
      </c>
      <c r="DF25" t="s">
        <v>148</v>
      </c>
      <c r="DG25" t="s">
        <v>69</v>
      </c>
      <c r="DH25">
        <v>132.119</v>
      </c>
      <c r="DI25" t="s">
        <v>69</v>
      </c>
      <c r="DJ25" t="s">
        <v>69</v>
      </c>
      <c r="DK25">
        <v>110</v>
      </c>
      <c r="DL25" t="s">
        <v>119</v>
      </c>
      <c r="DM25" t="s">
        <v>69</v>
      </c>
      <c r="DN25" t="s">
        <v>120</v>
      </c>
      <c r="DO25" t="s">
        <v>69</v>
      </c>
      <c r="DP25">
        <v>147.131</v>
      </c>
      <c r="DQ25" t="s">
        <v>69</v>
      </c>
      <c r="DR25" t="s">
        <v>69</v>
      </c>
      <c r="DS25">
        <v>111</v>
      </c>
      <c r="DT25" t="s">
        <v>76</v>
      </c>
      <c r="DU25" t="s">
        <v>69</v>
      </c>
      <c r="DV25" t="s">
        <v>75</v>
      </c>
      <c r="DW25" t="s">
        <v>69</v>
      </c>
      <c r="DX25">
        <v>146.18899999999999</v>
      </c>
      <c r="DY25" t="s">
        <v>69</v>
      </c>
      <c r="DZ25" t="s">
        <v>69</v>
      </c>
      <c r="EA25">
        <v>116</v>
      </c>
      <c r="EB25" t="s">
        <v>119</v>
      </c>
      <c r="EC25" t="s">
        <v>153</v>
      </c>
      <c r="ED25" t="s">
        <v>120</v>
      </c>
      <c r="EE25" t="s">
        <v>153</v>
      </c>
      <c r="EF25">
        <v>147.131</v>
      </c>
      <c r="EG25" t="s">
        <v>69</v>
      </c>
      <c r="EH25" t="s">
        <v>69</v>
      </c>
      <c r="EI25">
        <v>117</v>
      </c>
      <c r="EJ25" t="s">
        <v>157</v>
      </c>
      <c r="EK25" t="s">
        <v>153</v>
      </c>
      <c r="EL25" t="s">
        <v>75</v>
      </c>
      <c r="EM25" t="s">
        <v>153</v>
      </c>
      <c r="EN25">
        <v>155.15600000000001</v>
      </c>
      <c r="EO25" t="s">
        <v>153</v>
      </c>
      <c r="EP25" t="s">
        <v>153</v>
      </c>
      <c r="EQ25">
        <v>118</v>
      </c>
      <c r="ER25" t="s">
        <v>72</v>
      </c>
      <c r="ES25" t="s">
        <v>153</v>
      </c>
      <c r="ET25" t="s">
        <v>71</v>
      </c>
      <c r="EU25" t="s">
        <v>153</v>
      </c>
      <c r="EV25">
        <v>131.17500000000001</v>
      </c>
      <c r="EW25" t="s">
        <v>69</v>
      </c>
      <c r="EX25" t="s">
        <v>69</v>
      </c>
      <c r="EY25">
        <v>120</v>
      </c>
      <c r="EZ25" t="s">
        <v>74</v>
      </c>
      <c r="FA25" t="s">
        <v>153</v>
      </c>
      <c r="FB25" t="s">
        <v>75</v>
      </c>
      <c r="FC25" t="s">
        <v>69</v>
      </c>
      <c r="FD25">
        <v>174.203</v>
      </c>
      <c r="FE25" t="s">
        <v>69</v>
      </c>
      <c r="FF25" t="s">
        <v>69</v>
      </c>
      <c r="FG25">
        <v>121</v>
      </c>
      <c r="FH25" t="s">
        <v>74</v>
      </c>
      <c r="FI25" t="s">
        <v>153</v>
      </c>
      <c r="FJ25" t="s">
        <v>75</v>
      </c>
      <c r="FK25" t="s">
        <v>153</v>
      </c>
      <c r="FL25">
        <v>174.203</v>
      </c>
      <c r="FM25" t="s">
        <v>153</v>
      </c>
      <c r="FN25" t="s">
        <v>153</v>
      </c>
      <c r="FO25">
        <v>125</v>
      </c>
      <c r="FP25" t="s">
        <v>147</v>
      </c>
      <c r="FQ25" t="s">
        <v>153</v>
      </c>
      <c r="FR25" t="s">
        <v>148</v>
      </c>
      <c r="FS25" t="s">
        <v>153</v>
      </c>
      <c r="FT25">
        <v>146.14599999999999</v>
      </c>
      <c r="FU25" t="s">
        <v>69</v>
      </c>
      <c r="FV25" t="s">
        <v>69</v>
      </c>
    </row>
    <row r="26" spans="1:178" x14ac:dyDescent="0.25">
      <c r="A26">
        <v>7</v>
      </c>
      <c r="B26" t="str">
        <f>HYPERLINK("http://www.ncbi.nlm.nih.gov/protein/XP_021079617.1","XP_021079617.1")</f>
        <v>XP_021079617.1</v>
      </c>
      <c r="C26">
        <v>54410</v>
      </c>
      <c r="D26" t="str">
        <f>HYPERLINK("http://www.ncbi.nlm.nih.gov/Taxonomy/Browser/wwwtax.cgi?mode=Info&amp;id=10036&amp;lvl=3&amp;lin=f&amp;keep=1&amp;srchmode=1&amp;unlock","10036")</f>
        <v>10036</v>
      </c>
      <c r="E26" t="s">
        <v>66</v>
      </c>
      <c r="F26" t="str">
        <f>HYPERLINK("http://www.ncbi.nlm.nih.gov/Taxonomy/Browser/wwwtax.cgi?mode=Info&amp;id=10036&amp;lvl=3&amp;lin=f&amp;keep=1&amp;srchmode=1&amp;unlock","Mesocricetus auratus")</f>
        <v>Mesocricetus auratus</v>
      </c>
      <c r="G26" t="s">
        <v>87</v>
      </c>
      <c r="H26" t="str">
        <f>HYPERLINK("http://www.ncbi.nlm.nih.gov/protein/XP_021079617.1","bone marrow stromal antigen 2 isoform X1")</f>
        <v>bone marrow stromal antigen 2 isoform X1</v>
      </c>
      <c r="I26" t="s">
        <v>248</v>
      </c>
      <c r="J26" t="s">
        <v>153</v>
      </c>
      <c r="K26">
        <v>51</v>
      </c>
      <c r="L26" t="s">
        <v>73</v>
      </c>
      <c r="M26" t="s">
        <v>69</v>
      </c>
      <c r="N26" t="s">
        <v>71</v>
      </c>
      <c r="O26" t="s">
        <v>69</v>
      </c>
      <c r="P26">
        <v>89.093999999999994</v>
      </c>
      <c r="Q26" t="s">
        <v>69</v>
      </c>
      <c r="R26" t="s">
        <v>69</v>
      </c>
      <c r="S26">
        <v>52</v>
      </c>
      <c r="T26" t="s">
        <v>155</v>
      </c>
      <c r="U26" t="s">
        <v>153</v>
      </c>
      <c r="V26" t="s">
        <v>150</v>
      </c>
      <c r="W26" t="s">
        <v>153</v>
      </c>
      <c r="X26">
        <v>105.093</v>
      </c>
      <c r="Y26" t="s">
        <v>69</v>
      </c>
      <c r="Z26" t="s">
        <v>69</v>
      </c>
      <c r="AA26">
        <v>53</v>
      </c>
      <c r="AB26" t="s">
        <v>155</v>
      </c>
      <c r="AC26" t="s">
        <v>69</v>
      </c>
      <c r="AD26" t="s">
        <v>150</v>
      </c>
      <c r="AE26" t="s">
        <v>69</v>
      </c>
      <c r="AF26">
        <v>105.093</v>
      </c>
      <c r="AG26" t="s">
        <v>69</v>
      </c>
      <c r="AH26" t="s">
        <v>69</v>
      </c>
      <c r="AI26">
        <v>54</v>
      </c>
      <c r="AJ26" t="s">
        <v>119</v>
      </c>
      <c r="AK26" t="s">
        <v>69</v>
      </c>
      <c r="AL26" t="s">
        <v>120</v>
      </c>
      <c r="AM26" t="s">
        <v>69</v>
      </c>
      <c r="AN26">
        <v>147.131</v>
      </c>
      <c r="AO26" t="s">
        <v>69</v>
      </c>
      <c r="AP26" t="s">
        <v>69</v>
      </c>
      <c r="AQ26">
        <v>55</v>
      </c>
      <c r="AR26" t="s">
        <v>73</v>
      </c>
      <c r="AS26" t="s">
        <v>69</v>
      </c>
      <c r="AT26" t="s">
        <v>71</v>
      </c>
      <c r="AU26" t="s">
        <v>69</v>
      </c>
      <c r="AV26">
        <v>89.093999999999994</v>
      </c>
      <c r="AW26" t="s">
        <v>69</v>
      </c>
      <c r="AX26" t="s">
        <v>69</v>
      </c>
      <c r="AY26">
        <v>56</v>
      </c>
      <c r="AZ26" t="s">
        <v>249</v>
      </c>
      <c r="BA26" t="s">
        <v>69</v>
      </c>
      <c r="BB26" t="s">
        <v>117</v>
      </c>
      <c r="BC26" t="s">
        <v>69</v>
      </c>
      <c r="BD26">
        <v>121.154</v>
      </c>
      <c r="BE26" t="s">
        <v>69</v>
      </c>
      <c r="BF26" t="s">
        <v>69</v>
      </c>
      <c r="BG26">
        <v>87</v>
      </c>
      <c r="BH26" t="s">
        <v>73</v>
      </c>
      <c r="BI26" t="s">
        <v>153</v>
      </c>
      <c r="BJ26" t="s">
        <v>71</v>
      </c>
      <c r="BK26" t="s">
        <v>69</v>
      </c>
      <c r="BL26">
        <v>89.093999999999994</v>
      </c>
      <c r="BM26" t="s">
        <v>69</v>
      </c>
      <c r="BN26" t="s">
        <v>69</v>
      </c>
      <c r="BO26">
        <v>88</v>
      </c>
      <c r="BP26" t="s">
        <v>119</v>
      </c>
      <c r="BQ26" t="s">
        <v>69</v>
      </c>
      <c r="BR26" t="s">
        <v>120</v>
      </c>
      <c r="BS26" t="s">
        <v>69</v>
      </c>
      <c r="BT26">
        <v>147.131</v>
      </c>
      <c r="BU26" t="s">
        <v>69</v>
      </c>
      <c r="BV26" t="s">
        <v>69</v>
      </c>
      <c r="BW26">
        <v>90</v>
      </c>
      <c r="BX26" t="s">
        <v>147</v>
      </c>
      <c r="BY26" t="s">
        <v>69</v>
      </c>
      <c r="BZ26" t="s">
        <v>148</v>
      </c>
      <c r="CA26" t="s">
        <v>69</v>
      </c>
      <c r="CB26">
        <v>146.14599999999999</v>
      </c>
      <c r="CC26" t="s">
        <v>69</v>
      </c>
      <c r="CD26" t="s">
        <v>69</v>
      </c>
      <c r="CE26">
        <v>91</v>
      </c>
      <c r="CF26" t="s">
        <v>73</v>
      </c>
      <c r="CG26" t="s">
        <v>69</v>
      </c>
      <c r="CH26" t="s">
        <v>71</v>
      </c>
      <c r="CI26" t="s">
        <v>69</v>
      </c>
      <c r="CJ26">
        <v>89.093999999999994</v>
      </c>
      <c r="CK26" t="s">
        <v>69</v>
      </c>
      <c r="CL26" t="s">
        <v>69</v>
      </c>
      <c r="CM26">
        <v>92</v>
      </c>
      <c r="CN26" t="s">
        <v>70</v>
      </c>
      <c r="CO26" t="s">
        <v>153</v>
      </c>
      <c r="CP26" t="s">
        <v>71</v>
      </c>
      <c r="CQ26" t="s">
        <v>69</v>
      </c>
      <c r="CR26">
        <v>75.066999999999993</v>
      </c>
      <c r="CS26" t="s">
        <v>69</v>
      </c>
      <c r="CT26" t="s">
        <v>69</v>
      </c>
      <c r="CU26">
        <v>94</v>
      </c>
      <c r="CV26" t="s">
        <v>249</v>
      </c>
      <c r="CW26" t="s">
        <v>69</v>
      </c>
      <c r="CX26" t="s">
        <v>117</v>
      </c>
      <c r="CY26" t="s">
        <v>69</v>
      </c>
      <c r="CZ26">
        <v>121.154</v>
      </c>
      <c r="DA26" t="s">
        <v>69</v>
      </c>
      <c r="DB26" t="s">
        <v>69</v>
      </c>
      <c r="DC26">
        <v>95</v>
      </c>
      <c r="DD26" t="s">
        <v>153</v>
      </c>
      <c r="DE26" t="s">
        <v>69</v>
      </c>
      <c r="DF26" t="s">
        <v>148</v>
      </c>
      <c r="DG26" t="s">
        <v>69</v>
      </c>
      <c r="DH26">
        <v>132.119</v>
      </c>
      <c r="DI26" t="s">
        <v>69</v>
      </c>
      <c r="DJ26" t="s">
        <v>69</v>
      </c>
      <c r="DK26">
        <v>108</v>
      </c>
      <c r="DL26" t="s">
        <v>76</v>
      </c>
      <c r="DM26" t="s">
        <v>153</v>
      </c>
      <c r="DN26" t="s">
        <v>75</v>
      </c>
      <c r="DO26" t="s">
        <v>153</v>
      </c>
      <c r="DP26">
        <v>146.18899999999999</v>
      </c>
      <c r="DQ26" t="s">
        <v>69</v>
      </c>
      <c r="DR26" t="s">
        <v>69</v>
      </c>
      <c r="DS26">
        <v>109</v>
      </c>
      <c r="DT26" t="s">
        <v>115</v>
      </c>
      <c r="DU26" t="s">
        <v>153</v>
      </c>
      <c r="DV26" t="s">
        <v>71</v>
      </c>
      <c r="DW26" t="s">
        <v>153</v>
      </c>
      <c r="DX26">
        <v>117.148</v>
      </c>
      <c r="DY26" t="s">
        <v>69</v>
      </c>
      <c r="DZ26" t="s">
        <v>69</v>
      </c>
      <c r="EA26">
        <v>114</v>
      </c>
      <c r="EB26" t="s">
        <v>119</v>
      </c>
      <c r="EC26" t="s">
        <v>153</v>
      </c>
      <c r="ED26" t="s">
        <v>120</v>
      </c>
      <c r="EE26" t="s">
        <v>153</v>
      </c>
      <c r="EF26">
        <v>147.131</v>
      </c>
      <c r="EG26" t="s">
        <v>69</v>
      </c>
      <c r="EH26" t="s">
        <v>69</v>
      </c>
      <c r="EI26">
        <v>115</v>
      </c>
      <c r="EJ26" t="s">
        <v>147</v>
      </c>
      <c r="EK26" t="s">
        <v>153</v>
      </c>
      <c r="EL26" t="s">
        <v>148</v>
      </c>
      <c r="EM26" t="s">
        <v>153</v>
      </c>
      <c r="EN26">
        <v>146.14599999999999</v>
      </c>
      <c r="EO26" t="s">
        <v>153</v>
      </c>
      <c r="EP26" t="s">
        <v>153</v>
      </c>
      <c r="EQ26">
        <v>116</v>
      </c>
      <c r="ER26" t="s">
        <v>147</v>
      </c>
      <c r="ES26" t="s">
        <v>69</v>
      </c>
      <c r="ET26" t="s">
        <v>148</v>
      </c>
      <c r="EU26" t="s">
        <v>69</v>
      </c>
      <c r="EV26">
        <v>146.14599999999999</v>
      </c>
      <c r="EW26" t="s">
        <v>69</v>
      </c>
      <c r="EX26" t="s">
        <v>69</v>
      </c>
      <c r="EY26">
        <v>118</v>
      </c>
      <c r="EZ26" t="s">
        <v>74</v>
      </c>
      <c r="FA26" t="s">
        <v>153</v>
      </c>
      <c r="FB26" t="s">
        <v>75</v>
      </c>
      <c r="FC26" t="s">
        <v>69</v>
      </c>
      <c r="FD26">
        <v>174.203</v>
      </c>
      <c r="FE26" t="s">
        <v>69</v>
      </c>
      <c r="FF26" t="s">
        <v>69</v>
      </c>
      <c r="FG26">
        <v>119</v>
      </c>
      <c r="FH26" t="s">
        <v>145</v>
      </c>
      <c r="FI26" t="s">
        <v>153</v>
      </c>
      <c r="FJ26" t="s">
        <v>71</v>
      </c>
      <c r="FK26" t="s">
        <v>69</v>
      </c>
      <c r="FL26">
        <v>131.17500000000001</v>
      </c>
      <c r="FM26" t="s">
        <v>69</v>
      </c>
      <c r="FN26" t="s">
        <v>69</v>
      </c>
      <c r="FO26">
        <v>123</v>
      </c>
      <c r="FP26" t="s">
        <v>147</v>
      </c>
      <c r="FQ26" t="s">
        <v>153</v>
      </c>
      <c r="FR26" t="s">
        <v>148</v>
      </c>
      <c r="FS26" t="s">
        <v>153</v>
      </c>
      <c r="FT26">
        <v>146.14599999999999</v>
      </c>
      <c r="FU26" t="s">
        <v>69</v>
      </c>
      <c r="FV26" t="s">
        <v>69</v>
      </c>
    </row>
    <row r="27" spans="1:178" x14ac:dyDescent="0.25">
      <c r="A27">
        <v>7</v>
      </c>
      <c r="B27" t="str">
        <f>HYPERLINK("http://www.ncbi.nlm.nih.gov/protein/XP_016013286.2","XP_016013286.2")</f>
        <v>XP_016013286.2</v>
      </c>
      <c r="C27">
        <v>117142</v>
      </c>
      <c r="D27" t="str">
        <f>HYPERLINK("http://www.ncbi.nlm.nih.gov/Taxonomy/Browser/wwwtax.cgi?mode=Info&amp;id=9407&amp;lvl=3&amp;lin=f&amp;keep=1&amp;srchmode=1&amp;unlock","9407")</f>
        <v>9407</v>
      </c>
      <c r="E27" t="s">
        <v>66</v>
      </c>
      <c r="F27" t="str">
        <f>HYPERLINK("http://www.ncbi.nlm.nih.gov/Taxonomy/Browser/wwwtax.cgi?mode=Info&amp;id=9407&amp;lvl=3&amp;lin=f&amp;keep=1&amp;srchmode=1&amp;unlock","Rousettus aegyptiacus")</f>
        <v>Rousettus aegyptiacus</v>
      </c>
      <c r="G27" t="s">
        <v>103</v>
      </c>
      <c r="H27" t="str">
        <f>HYPERLINK("http://www.ncbi.nlm.nih.gov/protein/XP_016013286.2","bone marrow stromal antigen 2")</f>
        <v>bone marrow stromal antigen 2</v>
      </c>
      <c r="I27" t="s">
        <v>248</v>
      </c>
      <c r="J27" t="s">
        <v>153</v>
      </c>
      <c r="K27">
        <v>54</v>
      </c>
      <c r="L27" t="s">
        <v>73</v>
      </c>
      <c r="M27" t="s">
        <v>69</v>
      </c>
      <c r="N27" t="s">
        <v>71</v>
      </c>
      <c r="O27" t="s">
        <v>69</v>
      </c>
      <c r="P27">
        <v>89.093999999999994</v>
      </c>
      <c r="Q27" t="s">
        <v>69</v>
      </c>
      <c r="R27" t="s">
        <v>69</v>
      </c>
      <c r="S27">
        <v>55</v>
      </c>
      <c r="T27" t="s">
        <v>153</v>
      </c>
      <c r="U27" t="s">
        <v>69</v>
      </c>
      <c r="V27" t="s">
        <v>148</v>
      </c>
      <c r="W27" t="s">
        <v>69</v>
      </c>
      <c r="X27">
        <v>132.119</v>
      </c>
      <c r="Y27" t="s">
        <v>69</v>
      </c>
      <c r="Z27" t="s">
        <v>69</v>
      </c>
      <c r="AA27">
        <v>56</v>
      </c>
      <c r="AB27" t="s">
        <v>155</v>
      </c>
      <c r="AC27" t="s">
        <v>69</v>
      </c>
      <c r="AD27" t="s">
        <v>150</v>
      </c>
      <c r="AE27" t="s">
        <v>69</v>
      </c>
      <c r="AF27">
        <v>105.093</v>
      </c>
      <c r="AG27" t="s">
        <v>69</v>
      </c>
      <c r="AH27" t="s">
        <v>69</v>
      </c>
      <c r="AI27">
        <v>57</v>
      </c>
      <c r="AJ27" t="s">
        <v>76</v>
      </c>
      <c r="AK27" t="s">
        <v>153</v>
      </c>
      <c r="AL27" t="s">
        <v>75</v>
      </c>
      <c r="AM27" t="s">
        <v>153</v>
      </c>
      <c r="AN27">
        <v>146.18899999999999</v>
      </c>
      <c r="AO27" t="s">
        <v>69</v>
      </c>
      <c r="AP27" t="s">
        <v>69</v>
      </c>
      <c r="AQ27">
        <v>58</v>
      </c>
      <c r="AR27" t="s">
        <v>73</v>
      </c>
      <c r="AS27" t="s">
        <v>69</v>
      </c>
      <c r="AT27" t="s">
        <v>71</v>
      </c>
      <c r="AU27" t="s">
        <v>69</v>
      </c>
      <c r="AV27">
        <v>89.093999999999994</v>
      </c>
      <c r="AW27" t="s">
        <v>69</v>
      </c>
      <c r="AX27" t="s">
        <v>69</v>
      </c>
      <c r="AY27">
        <v>59</v>
      </c>
      <c r="AZ27" t="s">
        <v>249</v>
      </c>
      <c r="BA27" t="s">
        <v>69</v>
      </c>
      <c r="BB27" t="s">
        <v>117</v>
      </c>
      <c r="BC27" t="s">
        <v>69</v>
      </c>
      <c r="BD27">
        <v>121.154</v>
      </c>
      <c r="BE27" t="s">
        <v>69</v>
      </c>
      <c r="BF27" t="s">
        <v>69</v>
      </c>
      <c r="BG27">
        <v>90</v>
      </c>
      <c r="BH27" t="s">
        <v>73</v>
      </c>
      <c r="BI27" t="s">
        <v>153</v>
      </c>
      <c r="BJ27" t="s">
        <v>71</v>
      </c>
      <c r="BK27" t="s">
        <v>69</v>
      </c>
      <c r="BL27">
        <v>89.093999999999994</v>
      </c>
      <c r="BM27" t="s">
        <v>69</v>
      </c>
      <c r="BN27" t="s">
        <v>69</v>
      </c>
      <c r="BO27">
        <v>91</v>
      </c>
      <c r="BP27" t="s">
        <v>119</v>
      </c>
      <c r="BQ27" t="s">
        <v>69</v>
      </c>
      <c r="BR27" t="s">
        <v>120</v>
      </c>
      <c r="BS27" t="s">
        <v>69</v>
      </c>
      <c r="BT27">
        <v>147.131</v>
      </c>
      <c r="BU27" t="s">
        <v>69</v>
      </c>
      <c r="BV27" t="s">
        <v>69</v>
      </c>
      <c r="BW27">
        <v>93</v>
      </c>
      <c r="BX27" t="s">
        <v>147</v>
      </c>
      <c r="BY27" t="s">
        <v>69</v>
      </c>
      <c r="BZ27" t="s">
        <v>148</v>
      </c>
      <c r="CA27" t="s">
        <v>69</v>
      </c>
      <c r="CB27">
        <v>146.14599999999999</v>
      </c>
      <c r="CC27" t="s">
        <v>69</v>
      </c>
      <c r="CD27" t="s">
        <v>69</v>
      </c>
      <c r="CE27">
        <v>94</v>
      </c>
      <c r="CF27" t="s">
        <v>73</v>
      </c>
      <c r="CG27" t="s">
        <v>69</v>
      </c>
      <c r="CH27" t="s">
        <v>71</v>
      </c>
      <c r="CI27" t="s">
        <v>69</v>
      </c>
      <c r="CJ27">
        <v>89.093999999999994</v>
      </c>
      <c r="CK27" t="s">
        <v>69</v>
      </c>
      <c r="CL27" t="s">
        <v>69</v>
      </c>
      <c r="CM27">
        <v>95</v>
      </c>
      <c r="CN27" t="s">
        <v>69</v>
      </c>
      <c r="CO27" t="s">
        <v>153</v>
      </c>
      <c r="CP27" t="s">
        <v>152</v>
      </c>
      <c r="CQ27" t="s">
        <v>153</v>
      </c>
      <c r="CR27">
        <v>181.191</v>
      </c>
      <c r="CS27" t="s">
        <v>153</v>
      </c>
      <c r="CT27" t="s">
        <v>153</v>
      </c>
      <c r="CU27">
        <v>97</v>
      </c>
      <c r="CV27" t="s">
        <v>249</v>
      </c>
      <c r="CW27" t="s">
        <v>69</v>
      </c>
      <c r="CX27" t="s">
        <v>117</v>
      </c>
      <c r="CY27" t="s">
        <v>69</v>
      </c>
      <c r="CZ27">
        <v>121.154</v>
      </c>
      <c r="DA27" t="s">
        <v>69</v>
      </c>
      <c r="DB27" t="s">
        <v>69</v>
      </c>
      <c r="DC27">
        <v>98</v>
      </c>
      <c r="DD27" t="s">
        <v>153</v>
      </c>
      <c r="DE27" t="s">
        <v>69</v>
      </c>
      <c r="DF27" t="s">
        <v>148</v>
      </c>
      <c r="DG27" t="s">
        <v>69</v>
      </c>
      <c r="DH27">
        <v>132.119</v>
      </c>
      <c r="DI27" t="s">
        <v>69</v>
      </c>
      <c r="DJ27" t="s">
        <v>69</v>
      </c>
      <c r="DK27">
        <v>111</v>
      </c>
      <c r="DL27" t="s">
        <v>119</v>
      </c>
      <c r="DM27" t="s">
        <v>69</v>
      </c>
      <c r="DN27" t="s">
        <v>120</v>
      </c>
      <c r="DO27" t="s">
        <v>69</v>
      </c>
      <c r="DP27">
        <v>147.131</v>
      </c>
      <c r="DQ27" t="s">
        <v>69</v>
      </c>
      <c r="DR27" t="s">
        <v>69</v>
      </c>
      <c r="DS27">
        <v>112</v>
      </c>
      <c r="DT27" t="s">
        <v>76</v>
      </c>
      <c r="DU27" t="s">
        <v>69</v>
      </c>
      <c r="DV27" t="s">
        <v>75</v>
      </c>
      <c r="DW27" t="s">
        <v>69</v>
      </c>
      <c r="DX27">
        <v>146.18899999999999</v>
      </c>
      <c r="DY27" t="s">
        <v>69</v>
      </c>
      <c r="DZ27" t="s">
        <v>69</v>
      </c>
      <c r="EA27">
        <v>117</v>
      </c>
      <c r="EB27" t="s">
        <v>76</v>
      </c>
      <c r="EC27" t="s">
        <v>153</v>
      </c>
      <c r="ED27" t="s">
        <v>75</v>
      </c>
      <c r="EE27" t="s">
        <v>153</v>
      </c>
      <c r="EF27">
        <v>146.18899999999999</v>
      </c>
      <c r="EG27" t="s">
        <v>69</v>
      </c>
      <c r="EH27" t="s">
        <v>69</v>
      </c>
      <c r="EI27">
        <v>118</v>
      </c>
      <c r="EJ27" t="s">
        <v>147</v>
      </c>
      <c r="EK27" t="s">
        <v>153</v>
      </c>
      <c r="EL27" t="s">
        <v>148</v>
      </c>
      <c r="EM27" t="s">
        <v>153</v>
      </c>
      <c r="EN27">
        <v>146.14599999999999</v>
      </c>
      <c r="EO27" t="s">
        <v>153</v>
      </c>
      <c r="EP27" t="s">
        <v>153</v>
      </c>
      <c r="EQ27">
        <v>119</v>
      </c>
      <c r="ER27" t="s">
        <v>74</v>
      </c>
      <c r="ES27" t="s">
        <v>153</v>
      </c>
      <c r="ET27" t="s">
        <v>75</v>
      </c>
      <c r="EU27" t="s">
        <v>153</v>
      </c>
      <c r="EV27">
        <v>174.203</v>
      </c>
      <c r="EW27" t="s">
        <v>69</v>
      </c>
      <c r="EX27" t="s">
        <v>69</v>
      </c>
      <c r="EY27">
        <v>121</v>
      </c>
      <c r="EZ27" t="s">
        <v>72</v>
      </c>
      <c r="FA27" t="s">
        <v>153</v>
      </c>
      <c r="FB27" t="s">
        <v>71</v>
      </c>
      <c r="FC27" t="s">
        <v>153</v>
      </c>
      <c r="FD27">
        <v>131.17500000000001</v>
      </c>
      <c r="FE27" t="s">
        <v>69</v>
      </c>
      <c r="FF27" t="s">
        <v>69</v>
      </c>
      <c r="FG27">
        <v>122</v>
      </c>
      <c r="FH27" t="s">
        <v>73</v>
      </c>
      <c r="FI27" t="s">
        <v>153</v>
      </c>
      <c r="FJ27" t="s">
        <v>71</v>
      </c>
      <c r="FK27" t="s">
        <v>69</v>
      </c>
      <c r="FL27">
        <v>89.093999999999994</v>
      </c>
      <c r="FM27" t="s">
        <v>69</v>
      </c>
      <c r="FN27" t="s">
        <v>69</v>
      </c>
      <c r="FO27">
        <v>126</v>
      </c>
      <c r="FP27" t="s">
        <v>147</v>
      </c>
      <c r="FQ27" t="s">
        <v>153</v>
      </c>
      <c r="FR27" t="s">
        <v>148</v>
      </c>
      <c r="FS27" t="s">
        <v>153</v>
      </c>
      <c r="FT27">
        <v>146.14599999999999</v>
      </c>
      <c r="FU27" t="s">
        <v>69</v>
      </c>
      <c r="FV27" t="s">
        <v>69</v>
      </c>
    </row>
    <row r="28" spans="1:178" x14ac:dyDescent="0.25">
      <c r="A28">
        <v>7</v>
      </c>
      <c r="B28" t="str">
        <f>HYPERLINK("http://www.ncbi.nlm.nih.gov/protein/NP_937767.1","NP_937767.1")</f>
        <v>NP_937767.1</v>
      </c>
      <c r="C28">
        <v>158159</v>
      </c>
      <c r="D28" t="str">
        <f>HYPERLINK("http://www.ncbi.nlm.nih.gov/Taxonomy/Browser/wwwtax.cgi?mode=Info&amp;id=10116&amp;lvl=3&amp;lin=f&amp;keep=1&amp;srchmode=1&amp;unlock","10116")</f>
        <v>10116</v>
      </c>
      <c r="E28" t="s">
        <v>66</v>
      </c>
      <c r="F28" t="str">
        <f>HYPERLINK("http://www.ncbi.nlm.nih.gov/Taxonomy/Browser/wwwtax.cgi?mode=Info&amp;id=10116&amp;lvl=3&amp;lin=f&amp;keep=1&amp;srchmode=1&amp;unlock","Rattus norvegicus")</f>
        <v>Rattus norvegicus</v>
      </c>
      <c r="G28" t="s">
        <v>102</v>
      </c>
      <c r="H28" t="str">
        <f>HYPERLINK("http://www.ncbi.nlm.nih.gov/protein/NP_937767.1","bone marrow stromal antigen 2")</f>
        <v>bone marrow stromal antigen 2</v>
      </c>
      <c r="I28" t="s">
        <v>248</v>
      </c>
      <c r="J28" t="s">
        <v>153</v>
      </c>
      <c r="K28">
        <v>53</v>
      </c>
      <c r="L28" t="s">
        <v>73</v>
      </c>
      <c r="M28" t="s">
        <v>69</v>
      </c>
      <c r="N28" t="s">
        <v>71</v>
      </c>
      <c r="O28" t="s">
        <v>69</v>
      </c>
      <c r="P28">
        <v>89.093999999999994</v>
      </c>
      <c r="Q28" t="s">
        <v>69</v>
      </c>
      <c r="R28" t="s">
        <v>69</v>
      </c>
      <c r="S28">
        <v>54</v>
      </c>
      <c r="T28" t="s">
        <v>157</v>
      </c>
      <c r="U28" t="s">
        <v>153</v>
      </c>
      <c r="V28" t="s">
        <v>75</v>
      </c>
      <c r="W28" t="s">
        <v>153</v>
      </c>
      <c r="X28">
        <v>155.15600000000001</v>
      </c>
      <c r="Y28" t="s">
        <v>69</v>
      </c>
      <c r="Z28" t="s">
        <v>69</v>
      </c>
      <c r="AA28">
        <v>55</v>
      </c>
      <c r="AB28" t="s">
        <v>155</v>
      </c>
      <c r="AC28" t="s">
        <v>69</v>
      </c>
      <c r="AD28" t="s">
        <v>150</v>
      </c>
      <c r="AE28" t="s">
        <v>69</v>
      </c>
      <c r="AF28">
        <v>105.093</v>
      </c>
      <c r="AG28" t="s">
        <v>69</v>
      </c>
      <c r="AH28" t="s">
        <v>69</v>
      </c>
      <c r="AI28">
        <v>56</v>
      </c>
      <c r="AJ28" t="s">
        <v>119</v>
      </c>
      <c r="AK28" t="s">
        <v>69</v>
      </c>
      <c r="AL28" t="s">
        <v>120</v>
      </c>
      <c r="AM28" t="s">
        <v>69</v>
      </c>
      <c r="AN28">
        <v>147.131</v>
      </c>
      <c r="AO28" t="s">
        <v>69</v>
      </c>
      <c r="AP28" t="s">
        <v>69</v>
      </c>
      <c r="AQ28">
        <v>57</v>
      </c>
      <c r="AR28" t="s">
        <v>73</v>
      </c>
      <c r="AS28" t="s">
        <v>69</v>
      </c>
      <c r="AT28" t="s">
        <v>71</v>
      </c>
      <c r="AU28" t="s">
        <v>69</v>
      </c>
      <c r="AV28">
        <v>89.093999999999994</v>
      </c>
      <c r="AW28" t="s">
        <v>69</v>
      </c>
      <c r="AX28" t="s">
        <v>69</v>
      </c>
      <c r="AY28">
        <v>58</v>
      </c>
      <c r="AZ28" t="s">
        <v>249</v>
      </c>
      <c r="BA28" t="s">
        <v>69</v>
      </c>
      <c r="BB28" t="s">
        <v>117</v>
      </c>
      <c r="BC28" t="s">
        <v>69</v>
      </c>
      <c r="BD28">
        <v>121.154</v>
      </c>
      <c r="BE28" t="s">
        <v>69</v>
      </c>
      <c r="BF28" t="s">
        <v>69</v>
      </c>
      <c r="BG28">
        <v>89</v>
      </c>
      <c r="BH28" t="s">
        <v>149</v>
      </c>
      <c r="BI28" t="s">
        <v>153</v>
      </c>
      <c r="BJ28" t="s">
        <v>150</v>
      </c>
      <c r="BK28" t="s">
        <v>153</v>
      </c>
      <c r="BL28">
        <v>119.119</v>
      </c>
      <c r="BM28" t="s">
        <v>69</v>
      </c>
      <c r="BN28" t="s">
        <v>69</v>
      </c>
      <c r="BO28">
        <v>90</v>
      </c>
      <c r="BP28" t="s">
        <v>119</v>
      </c>
      <c r="BQ28" t="s">
        <v>69</v>
      </c>
      <c r="BR28" t="s">
        <v>120</v>
      </c>
      <c r="BS28" t="s">
        <v>69</v>
      </c>
      <c r="BT28">
        <v>147.131</v>
      </c>
      <c r="BU28" t="s">
        <v>69</v>
      </c>
      <c r="BV28" t="s">
        <v>69</v>
      </c>
      <c r="BW28">
        <v>92</v>
      </c>
      <c r="BX28" t="s">
        <v>147</v>
      </c>
      <c r="BY28" t="s">
        <v>69</v>
      </c>
      <c r="BZ28" t="s">
        <v>148</v>
      </c>
      <c r="CA28" t="s">
        <v>69</v>
      </c>
      <c r="CB28">
        <v>146.14599999999999</v>
      </c>
      <c r="CC28" t="s">
        <v>69</v>
      </c>
      <c r="CD28" t="s">
        <v>69</v>
      </c>
      <c r="CE28">
        <v>93</v>
      </c>
      <c r="CF28" t="s">
        <v>73</v>
      </c>
      <c r="CG28" t="s">
        <v>69</v>
      </c>
      <c r="CH28" t="s">
        <v>71</v>
      </c>
      <c r="CI28" t="s">
        <v>69</v>
      </c>
      <c r="CJ28">
        <v>89.093999999999994</v>
      </c>
      <c r="CK28" t="s">
        <v>69</v>
      </c>
      <c r="CL28" t="s">
        <v>69</v>
      </c>
      <c r="CM28">
        <v>94</v>
      </c>
      <c r="CN28" t="s">
        <v>153</v>
      </c>
      <c r="CO28" t="s">
        <v>153</v>
      </c>
      <c r="CP28" t="s">
        <v>148</v>
      </c>
      <c r="CQ28" t="s">
        <v>153</v>
      </c>
      <c r="CR28">
        <v>132.119</v>
      </c>
      <c r="CS28" t="s">
        <v>153</v>
      </c>
      <c r="CT28" t="s">
        <v>153</v>
      </c>
      <c r="CU28">
        <v>96</v>
      </c>
      <c r="CV28" t="s">
        <v>249</v>
      </c>
      <c r="CW28" t="s">
        <v>69</v>
      </c>
      <c r="CX28" t="s">
        <v>117</v>
      </c>
      <c r="CY28" t="s">
        <v>69</v>
      </c>
      <c r="CZ28">
        <v>121.154</v>
      </c>
      <c r="DA28" t="s">
        <v>69</v>
      </c>
      <c r="DB28" t="s">
        <v>69</v>
      </c>
      <c r="DC28">
        <v>97</v>
      </c>
      <c r="DD28" t="s">
        <v>153</v>
      </c>
      <c r="DE28" t="s">
        <v>69</v>
      </c>
      <c r="DF28" t="s">
        <v>148</v>
      </c>
      <c r="DG28" t="s">
        <v>69</v>
      </c>
      <c r="DH28">
        <v>132.119</v>
      </c>
      <c r="DI28" t="s">
        <v>69</v>
      </c>
      <c r="DJ28" t="s">
        <v>69</v>
      </c>
      <c r="DK28">
        <v>110</v>
      </c>
      <c r="DL28" t="s">
        <v>76</v>
      </c>
      <c r="DM28" t="s">
        <v>153</v>
      </c>
      <c r="DN28" t="s">
        <v>75</v>
      </c>
      <c r="DO28" t="s">
        <v>153</v>
      </c>
      <c r="DP28">
        <v>146.18899999999999</v>
      </c>
      <c r="DQ28" t="s">
        <v>69</v>
      </c>
      <c r="DR28" t="s">
        <v>69</v>
      </c>
      <c r="DS28">
        <v>111</v>
      </c>
      <c r="DT28" t="s">
        <v>115</v>
      </c>
      <c r="DU28" t="s">
        <v>153</v>
      </c>
      <c r="DV28" t="s">
        <v>71</v>
      </c>
      <c r="DW28" t="s">
        <v>153</v>
      </c>
      <c r="DX28">
        <v>117.148</v>
      </c>
      <c r="DY28" t="s">
        <v>69</v>
      </c>
      <c r="DZ28" t="s">
        <v>69</v>
      </c>
      <c r="EA28">
        <v>116</v>
      </c>
      <c r="EB28" t="s">
        <v>119</v>
      </c>
      <c r="EC28" t="s">
        <v>153</v>
      </c>
      <c r="ED28" t="s">
        <v>120</v>
      </c>
      <c r="EE28" t="s">
        <v>153</v>
      </c>
      <c r="EF28">
        <v>147.131</v>
      </c>
      <c r="EG28" t="s">
        <v>69</v>
      </c>
      <c r="EH28" t="s">
        <v>69</v>
      </c>
      <c r="EI28">
        <v>117</v>
      </c>
      <c r="EJ28" t="s">
        <v>147</v>
      </c>
      <c r="EK28" t="s">
        <v>153</v>
      </c>
      <c r="EL28" t="s">
        <v>148</v>
      </c>
      <c r="EM28" t="s">
        <v>153</v>
      </c>
      <c r="EN28">
        <v>146.14599999999999</v>
      </c>
      <c r="EO28" t="s">
        <v>153</v>
      </c>
      <c r="EP28" t="s">
        <v>153</v>
      </c>
      <c r="EQ28">
        <v>118</v>
      </c>
      <c r="ER28" t="s">
        <v>147</v>
      </c>
      <c r="ES28" t="s">
        <v>69</v>
      </c>
      <c r="ET28" t="s">
        <v>148</v>
      </c>
      <c r="EU28" t="s">
        <v>69</v>
      </c>
      <c r="EV28">
        <v>146.14599999999999</v>
      </c>
      <c r="EW28" t="s">
        <v>69</v>
      </c>
      <c r="EX28" t="s">
        <v>69</v>
      </c>
      <c r="EY28">
        <v>120</v>
      </c>
      <c r="EZ28" t="s">
        <v>74</v>
      </c>
      <c r="FA28" t="s">
        <v>153</v>
      </c>
      <c r="FB28" t="s">
        <v>75</v>
      </c>
      <c r="FC28" t="s">
        <v>69</v>
      </c>
      <c r="FD28">
        <v>174.203</v>
      </c>
      <c r="FE28" t="s">
        <v>69</v>
      </c>
      <c r="FF28" t="s">
        <v>69</v>
      </c>
      <c r="FG28" t="s">
        <v>159</v>
      </c>
      <c r="FH28" t="s">
        <v>159</v>
      </c>
      <c r="FI28" t="s">
        <v>153</v>
      </c>
      <c r="FJ28" t="s">
        <v>159</v>
      </c>
      <c r="FK28" t="s">
        <v>153</v>
      </c>
      <c r="FL28" t="s">
        <v>159</v>
      </c>
      <c r="FM28" t="s">
        <v>153</v>
      </c>
      <c r="FN28" t="s">
        <v>153</v>
      </c>
      <c r="FO28" t="s">
        <v>159</v>
      </c>
      <c r="FP28" t="s">
        <v>159</v>
      </c>
      <c r="FQ28" t="s">
        <v>153</v>
      </c>
      <c r="FR28" t="s">
        <v>159</v>
      </c>
      <c r="FS28" t="s">
        <v>153</v>
      </c>
      <c r="FT28" t="s">
        <v>159</v>
      </c>
      <c r="FU28" t="s">
        <v>153</v>
      </c>
      <c r="FV28" t="s">
        <v>153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ReadMe</vt:lpstr>
      <vt:lpstr>40S_uS3_curB</vt:lpstr>
      <vt:lpstr>40S_uS3_curD</vt:lpstr>
      <vt:lpstr>40S_uS5_S2_Bcur</vt:lpstr>
      <vt:lpstr>40S_uS5_S2_Dcur</vt:lpstr>
      <vt:lpstr>ACE2_Bcur</vt:lpstr>
      <vt:lpstr>ACE2_Dcur</vt:lpstr>
      <vt:lpstr>BST-2_Bcur</vt:lpstr>
      <vt:lpstr>BST-2_Dcur</vt:lpstr>
      <vt:lpstr>BST2Bats_Bcur</vt:lpstr>
      <vt:lpstr>BST2Bats_Dcur</vt:lpstr>
      <vt:lpstr>G3BP1_Bcur</vt:lpstr>
      <vt:lpstr>G3BP1_Dcur</vt:lpstr>
      <vt:lpstr>IRF3_Bcur</vt:lpstr>
      <vt:lpstr>IRF3_Dcur</vt:lpstr>
      <vt:lpstr>ISG15_Bcur</vt:lpstr>
      <vt:lpstr>ISG15_Dcur</vt:lpstr>
      <vt:lpstr>MAVS_Bcur</vt:lpstr>
      <vt:lpstr>MAVS_Dcur</vt:lpstr>
      <vt:lpstr>NEMO_Bcur</vt:lpstr>
      <vt:lpstr>NEMO_Dcur</vt:lpstr>
      <vt:lpstr>POLA_Bcur</vt:lpstr>
      <vt:lpstr>POLA_Dcur</vt:lpstr>
      <vt:lpstr>RAE1_Bcur</vt:lpstr>
      <vt:lpstr>RAE1_Dcur</vt:lpstr>
      <vt:lpstr>STAT1_Bcur</vt:lpstr>
      <vt:lpstr>STAT1_Dcur</vt:lpstr>
      <vt:lpstr>TMPRSS2_Bcur</vt:lpstr>
      <vt:lpstr>TMPRSS2_Dcur</vt:lpstr>
      <vt:lpstr>TOMM70_Bcur</vt:lpstr>
      <vt:lpstr>TOMM70_Dcur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Sally Mayasich</dc:creator>
  <cp:lastModifiedBy>Sally Mayasich</cp:lastModifiedBy>
  <dcterms:created xsi:type="dcterms:W3CDTF">2023-05-31T21:18:53Z</dcterms:created>
  <dcterms:modified xsi:type="dcterms:W3CDTF">2023-10-16T22:42:50Z</dcterms:modified>
</cp:coreProperties>
</file>